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ber\Downloads\"/>
    </mc:Choice>
  </mc:AlternateContent>
  <xr:revisionPtr revIDLastSave="0" documentId="8_{BE9D09E3-BF40-4C86-BAD3-B8BF1ABA0E7A}" xr6:coauthVersionLast="47" xr6:coauthVersionMax="47" xr10:uidLastSave="{00000000-0000-0000-0000-000000000000}"/>
  <bookViews>
    <workbookView xWindow="3972" yWindow="1044" windowWidth="16008" windowHeight="11076" xr2:uid="{639E87FC-9324-6C47-832F-A3C438314A67}"/>
  </bookViews>
  <sheets>
    <sheet name="Raw Data" sheetId="1" r:id="rId1"/>
    <sheet name="Burn Cat &amp; Elem Chart" sheetId="2" r:id="rId2"/>
    <sheet name="burn cat stats" sheetId="5" r:id="rId3"/>
    <sheet name="elem stats" sheetId="6" r:id="rId4"/>
    <sheet name="efficiency" sheetId="4" r:id="rId5"/>
  </sheets>
  <definedNames>
    <definedName name="_xlnm._FilterDatabase" localSheetId="0" hidden="1">'Raw Data'!$A$1:$Y$1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6" l="1"/>
  <c r="F2" i="6"/>
  <c r="C3" i="6"/>
  <c r="F3" i="6"/>
  <c r="C4" i="6"/>
  <c r="D4" i="6"/>
  <c r="F4" i="6"/>
  <c r="C5" i="6"/>
  <c r="F5" i="6"/>
  <c r="C6" i="6"/>
  <c r="F6" i="6"/>
  <c r="C7" i="6"/>
  <c r="D7" i="6"/>
  <c r="C8" i="6"/>
  <c r="F8" i="6"/>
  <c r="C9" i="6"/>
  <c r="C10" i="6"/>
  <c r="D10" i="6"/>
  <c r="F10" i="6"/>
  <c r="C11" i="6"/>
  <c r="D11" i="6"/>
  <c r="F11" i="6"/>
  <c r="C12" i="6"/>
  <c r="F12" i="6"/>
  <c r="F13" i="6"/>
  <c r="C14" i="6"/>
  <c r="D14" i="6"/>
  <c r="F14" i="6"/>
  <c r="C15" i="6"/>
  <c r="D15" i="6"/>
  <c r="F15" i="6"/>
  <c r="C16" i="6"/>
  <c r="F16" i="6"/>
  <c r="C17" i="6"/>
  <c r="F17" i="6"/>
  <c r="C18" i="6"/>
  <c r="C19" i="6"/>
  <c r="F19" i="6"/>
  <c r="C20" i="6"/>
  <c r="C21" i="6"/>
  <c r="C2" i="5" l="1"/>
  <c r="F2" i="5"/>
  <c r="C3" i="5"/>
  <c r="D3" i="5"/>
  <c r="F3" i="5"/>
  <c r="D4" i="5"/>
  <c r="C5" i="5"/>
  <c r="F5" i="5"/>
  <c r="C6" i="5"/>
  <c r="F6" i="5"/>
  <c r="C7" i="5"/>
  <c r="F7" i="5"/>
  <c r="C8" i="5"/>
  <c r="F8" i="5"/>
  <c r="C9" i="5"/>
  <c r="F9" i="5"/>
  <c r="C10" i="5"/>
  <c r="F10" i="5"/>
  <c r="C11" i="5"/>
  <c r="C12" i="5"/>
  <c r="C13" i="5"/>
  <c r="D13" i="5"/>
  <c r="F15" i="5"/>
  <c r="S128" i="1"/>
  <c r="S52" i="1"/>
  <c r="P145" i="1"/>
  <c r="Q145" i="1" s="1"/>
  <c r="P115" i="1"/>
  <c r="Q115" i="1" s="1"/>
  <c r="P137" i="1"/>
  <c r="P142" i="1"/>
  <c r="Q142" i="1" s="1"/>
  <c r="P124" i="1"/>
  <c r="Q124" i="1" s="1"/>
  <c r="P121" i="1"/>
  <c r="Q121" i="1" s="1"/>
  <c r="P118" i="1"/>
  <c r="Q118" i="1" s="1"/>
  <c r="P112" i="1"/>
  <c r="Q112" i="1" s="1"/>
  <c r="P120" i="1"/>
  <c r="Q120" i="1" s="1"/>
  <c r="P125" i="1"/>
  <c r="P128" i="1"/>
  <c r="Q128" i="1" s="1"/>
  <c r="P131" i="1"/>
  <c r="Q131" i="1" s="1"/>
  <c r="P116" i="1"/>
  <c r="Q116" i="1" s="1"/>
  <c r="P117" i="1"/>
  <c r="Q117" i="1" s="1"/>
  <c r="P119" i="1"/>
  <c r="Q119" i="1" s="1"/>
  <c r="P114" i="1"/>
  <c r="Q114" i="1" s="1"/>
  <c r="P127" i="1"/>
  <c r="Q127" i="1" s="1"/>
  <c r="P126" i="1"/>
  <c r="Q126" i="1" s="1"/>
  <c r="P136" i="1"/>
  <c r="Q136" i="1" s="1"/>
  <c r="P135" i="1"/>
  <c r="Q135" i="1" s="1"/>
  <c r="P138" i="1"/>
  <c r="Q138" i="1" s="1"/>
  <c r="P139" i="1"/>
  <c r="Q139" i="1" s="1"/>
  <c r="P148" i="1"/>
  <c r="Q148" i="1" s="1"/>
  <c r="P144" i="1"/>
  <c r="Q144" i="1" s="1"/>
  <c r="P122" i="1"/>
  <c r="Q122" i="1" s="1"/>
  <c r="P113" i="1"/>
  <c r="Q113" i="1" s="1"/>
  <c r="P147" i="1"/>
  <c r="Q147" i="1" s="1"/>
  <c r="P129" i="1"/>
  <c r="Q129" i="1" s="1"/>
  <c r="P141" i="1"/>
  <c r="Q141" i="1" s="1"/>
  <c r="P130" i="1"/>
  <c r="Q130" i="1" s="1"/>
  <c r="P133" i="1"/>
  <c r="Q133" i="1" s="1"/>
  <c r="P134" i="1"/>
  <c r="Q134" i="1" s="1"/>
  <c r="P143" i="1"/>
  <c r="Q143" i="1" s="1"/>
  <c r="P146" i="1"/>
  <c r="Q146" i="1" s="1"/>
  <c r="P123" i="1"/>
  <c r="Q123" i="1" s="1"/>
  <c r="P111" i="1"/>
  <c r="Q111" i="1" s="1"/>
  <c r="P110" i="1"/>
  <c r="Q110" i="1" s="1"/>
  <c r="P132" i="1"/>
  <c r="Q132" i="1" s="1"/>
  <c r="P140" i="1"/>
  <c r="Q140" i="1" s="1"/>
  <c r="P83" i="1"/>
  <c r="Q83" i="1" s="1"/>
  <c r="P80" i="1"/>
  <c r="Q80" i="1" s="1"/>
  <c r="P79" i="1"/>
  <c r="Q79" i="1" s="1"/>
  <c r="P104" i="1"/>
  <c r="Q104" i="1" s="1"/>
  <c r="P87" i="1"/>
  <c r="Q87" i="1" s="1"/>
  <c r="P98" i="1"/>
  <c r="Q98" i="1" s="1"/>
  <c r="P82" i="1"/>
  <c r="Q82" i="1" s="1"/>
  <c r="P60" i="1"/>
  <c r="Q60" i="1" s="1"/>
  <c r="P64" i="1"/>
  <c r="Q64" i="1" s="1"/>
  <c r="P68" i="1"/>
  <c r="Q68" i="1" s="1"/>
  <c r="P81" i="1"/>
  <c r="Q81" i="1" s="1"/>
  <c r="P70" i="1"/>
  <c r="Q70" i="1" s="1"/>
  <c r="P61" i="1"/>
  <c r="Q61" i="1" s="1"/>
  <c r="P75" i="1"/>
  <c r="Q75" i="1" s="1"/>
  <c r="P57" i="1"/>
  <c r="Q57" i="1" s="1"/>
  <c r="P109" i="1"/>
  <c r="Q109" i="1" s="1"/>
  <c r="P89" i="1"/>
  <c r="Q89" i="1" s="1"/>
  <c r="P78" i="1"/>
  <c r="Q78" i="1" s="1"/>
  <c r="P59" i="1"/>
  <c r="P73" i="1"/>
  <c r="Q73" i="1" s="1"/>
  <c r="P76" i="1"/>
  <c r="Q76" i="1" s="1"/>
  <c r="P91" i="1"/>
  <c r="Q91" i="1" s="1"/>
  <c r="P92" i="1"/>
  <c r="Q92" i="1" s="1"/>
  <c r="P100" i="1"/>
  <c r="Q100" i="1" s="1"/>
  <c r="P77" i="1"/>
  <c r="Q77" i="1" s="1"/>
  <c r="P67" i="1"/>
  <c r="Q67" i="1" s="1"/>
  <c r="P84" i="1"/>
  <c r="Q84" i="1" s="1"/>
  <c r="P72" i="1"/>
  <c r="Q72" i="1" s="1"/>
  <c r="P63" i="1"/>
  <c r="Q63" i="1" s="1"/>
  <c r="P66" i="1"/>
  <c r="Q66" i="1" s="1"/>
  <c r="P62" i="1"/>
  <c r="Q62" i="1" s="1"/>
  <c r="P90" i="1"/>
  <c r="Q90" i="1" s="1"/>
  <c r="P65" i="1"/>
  <c r="Q65" i="1" s="1"/>
  <c r="P88" i="1"/>
  <c r="Q88" i="1" s="1"/>
  <c r="P86" i="1"/>
  <c r="P99" i="1"/>
  <c r="Q99" i="1" s="1"/>
  <c r="P93" i="1"/>
  <c r="Q93" i="1" s="1"/>
  <c r="P108" i="1"/>
  <c r="Q108" i="1" s="1"/>
  <c r="P102" i="1"/>
  <c r="Q102" i="1" s="1"/>
  <c r="P103" i="1"/>
  <c r="Q103" i="1" s="1"/>
  <c r="P74" i="1"/>
  <c r="Q74" i="1" s="1"/>
  <c r="P107" i="1"/>
  <c r="Q107" i="1" s="1"/>
  <c r="P95" i="1"/>
  <c r="Q95" i="1" s="1"/>
  <c r="P96" i="1"/>
  <c r="Q96" i="1" s="1"/>
  <c r="P106" i="1"/>
  <c r="Q106" i="1" s="1"/>
  <c r="P69" i="1"/>
  <c r="Q69" i="1" s="1"/>
  <c r="P97" i="1"/>
  <c r="Q97" i="1" s="1"/>
  <c r="P101" i="1"/>
  <c r="Q101" i="1" s="1"/>
  <c r="P105" i="1"/>
  <c r="Q105" i="1" s="1"/>
  <c r="P71" i="1"/>
  <c r="Q71" i="1" s="1"/>
  <c r="P58" i="1"/>
  <c r="Q58" i="1" s="1"/>
  <c r="P56" i="1"/>
  <c r="Q56" i="1" s="1"/>
  <c r="P85" i="1"/>
  <c r="Q85" i="1" s="1"/>
  <c r="P94" i="1"/>
  <c r="Q94" i="1" s="1"/>
  <c r="Q137" i="1"/>
  <c r="Q125" i="1"/>
  <c r="Q59" i="1"/>
  <c r="Q86" i="1"/>
  <c r="P27" i="1"/>
  <c r="Q27" i="1" s="1"/>
  <c r="P4" i="1"/>
  <c r="Q4" i="1" s="1"/>
  <c r="P3" i="1"/>
  <c r="Q3" i="1" s="1"/>
  <c r="P29" i="1"/>
  <c r="Q29" i="1" s="1"/>
  <c r="P30" i="1"/>
  <c r="Q30" i="1" s="1"/>
  <c r="P33" i="1"/>
  <c r="Q33" i="1" s="1"/>
  <c r="P51" i="1"/>
  <c r="Q51" i="1" s="1"/>
  <c r="P49" i="1"/>
  <c r="Q49" i="1" s="1"/>
  <c r="P44" i="1"/>
  <c r="Q44" i="1" s="1"/>
  <c r="P43" i="1"/>
  <c r="Q43" i="1" s="1"/>
  <c r="P13" i="1"/>
  <c r="Q13" i="1" s="1"/>
  <c r="P5" i="1"/>
  <c r="Q5" i="1" s="1"/>
  <c r="P32" i="1"/>
  <c r="Q32" i="1" s="1"/>
  <c r="P34" i="1"/>
  <c r="Q34" i="1" s="1"/>
  <c r="P38" i="1"/>
  <c r="Q38" i="1" s="1"/>
  <c r="P20" i="1"/>
  <c r="Q20" i="1" s="1"/>
  <c r="P25" i="1"/>
  <c r="Q25" i="1" s="1"/>
  <c r="P8" i="1"/>
  <c r="Q8" i="1" s="1"/>
  <c r="P6" i="1"/>
  <c r="Q6" i="1" s="1"/>
  <c r="P16" i="1"/>
  <c r="Q16" i="1" s="1"/>
  <c r="P2" i="1"/>
  <c r="Q2" i="1" s="1"/>
  <c r="P7" i="1"/>
  <c r="Q7" i="1" s="1"/>
  <c r="P23" i="1"/>
  <c r="Q23" i="1" s="1"/>
  <c r="P19" i="1"/>
  <c r="Q19" i="1" s="1"/>
  <c r="P28" i="1"/>
  <c r="Q28" i="1" s="1"/>
  <c r="P26" i="1"/>
  <c r="Q26" i="1" s="1"/>
  <c r="P47" i="1"/>
  <c r="Q47" i="1" s="1"/>
  <c r="P39" i="1"/>
  <c r="Q39" i="1" s="1"/>
  <c r="P9" i="1"/>
  <c r="Q9" i="1" s="1"/>
  <c r="P31" i="1"/>
  <c r="Q31" i="1" s="1"/>
  <c r="P11" i="1"/>
  <c r="Q11" i="1" s="1"/>
  <c r="P15" i="1"/>
  <c r="Q15" i="1" s="1"/>
  <c r="P18" i="1"/>
  <c r="Q18" i="1" s="1"/>
  <c r="P14" i="1"/>
  <c r="Q14" i="1" s="1"/>
  <c r="P24" i="1"/>
  <c r="Q24" i="1" s="1"/>
  <c r="P10" i="1"/>
  <c r="Q10" i="1" s="1"/>
  <c r="P36" i="1"/>
  <c r="Q36" i="1" s="1"/>
  <c r="P45" i="1"/>
  <c r="Q45" i="1" s="1"/>
  <c r="P46" i="1"/>
  <c r="Q46" i="1" s="1"/>
  <c r="P37" i="1"/>
  <c r="Q37" i="1" s="1"/>
  <c r="P55" i="1"/>
  <c r="Q55" i="1" s="1"/>
  <c r="P50" i="1"/>
  <c r="Q50" i="1" s="1"/>
  <c r="P35" i="1"/>
  <c r="Q35" i="1" s="1"/>
  <c r="P22" i="1"/>
  <c r="Q22" i="1" s="1"/>
  <c r="P54" i="1"/>
  <c r="Q54" i="1" s="1"/>
  <c r="P40" i="1"/>
  <c r="Q40" i="1" s="1"/>
  <c r="P41" i="1"/>
  <c r="Q41" i="1" s="1"/>
  <c r="P53" i="1"/>
  <c r="Q53" i="1" s="1"/>
  <c r="P21" i="1"/>
  <c r="Q21" i="1" s="1"/>
  <c r="P42" i="1"/>
  <c r="Q42" i="1" s="1"/>
  <c r="P48" i="1"/>
  <c r="Q48" i="1" s="1"/>
  <c r="P52" i="1"/>
  <c r="Q52" i="1" s="1"/>
  <c r="P17" i="1"/>
  <c r="Q17" i="1" s="1"/>
  <c r="P12" i="1" l="1"/>
  <c r="Q12" i="1" s="1"/>
  <c r="K132" i="1"/>
  <c r="K27" i="1"/>
  <c r="K110" i="1"/>
  <c r="K56" i="1"/>
  <c r="K3" i="1"/>
  <c r="K111" i="1"/>
  <c r="K58" i="1"/>
  <c r="L4" i="1"/>
  <c r="K4" i="1"/>
  <c r="L123" i="1"/>
  <c r="K123" i="1"/>
  <c r="L71" i="1"/>
  <c r="K71" i="1"/>
  <c r="L17" i="1"/>
  <c r="K17" i="1"/>
  <c r="M125" i="1" l="1"/>
  <c r="L74" i="1" l="1"/>
  <c r="L122" i="1"/>
  <c r="L126" i="1"/>
  <c r="L62" i="1"/>
  <c r="L14" i="1"/>
  <c r="L119" i="1"/>
  <c r="L66" i="1"/>
  <c r="L63" i="1"/>
  <c r="L15" i="1"/>
  <c r="L120" i="1"/>
  <c r="L67" i="1"/>
  <c r="L9" i="1"/>
  <c r="L59" i="1"/>
  <c r="L7" i="1"/>
  <c r="L2" i="1"/>
  <c r="L16" i="1"/>
  <c r="L8" i="1"/>
  <c r="L118" i="1"/>
  <c r="L61" i="1"/>
  <c r="L20" i="1"/>
  <c r="L121" i="1"/>
  <c r="L70" i="1"/>
  <c r="L68" i="1"/>
  <c r="L64" i="1"/>
  <c r="L124" i="1"/>
  <c r="L60" i="1"/>
  <c r="L13" i="1"/>
  <c r="L12" i="1"/>
  <c r="K12" i="1"/>
  <c r="K134" i="1"/>
  <c r="K133" i="1"/>
  <c r="K69" i="1"/>
  <c r="K21" i="1"/>
  <c r="K130" i="1"/>
  <c r="K129" i="1"/>
  <c r="K74" i="1"/>
  <c r="K22" i="1"/>
  <c r="K122" i="1"/>
  <c r="K138" i="1"/>
  <c r="K126" i="1"/>
  <c r="K65" i="1"/>
  <c r="K10" i="1"/>
  <c r="K127" i="1"/>
  <c r="K24" i="1"/>
  <c r="K114" i="1"/>
  <c r="K62" i="1"/>
  <c r="K14" i="1"/>
  <c r="K119" i="1"/>
  <c r="K66" i="1"/>
  <c r="K18" i="1"/>
  <c r="K117" i="1"/>
  <c r="K63" i="1"/>
  <c r="K15" i="1"/>
  <c r="K116" i="1"/>
  <c r="K72" i="1"/>
  <c r="K11" i="1"/>
  <c r="K131" i="1"/>
  <c r="K128" i="1"/>
  <c r="K125" i="1"/>
  <c r="K120" i="1"/>
  <c r="K67" i="1"/>
  <c r="K9" i="1"/>
  <c r="K112" i="1"/>
  <c r="K77" i="1"/>
  <c r="K92" i="1"/>
  <c r="K26" i="1"/>
  <c r="K28" i="1"/>
  <c r="K76" i="1"/>
  <c r="K19" i="1"/>
  <c r="K73" i="1"/>
  <c r="K23" i="1"/>
  <c r="K59" i="1"/>
  <c r="K7" i="1"/>
  <c r="K78" i="1"/>
  <c r="K2" i="1"/>
  <c r="K16" i="1"/>
  <c r="K6" i="1"/>
  <c r="K57" i="1"/>
  <c r="K8" i="1"/>
  <c r="K75" i="1"/>
  <c r="K25" i="1"/>
  <c r="K118" i="1"/>
  <c r="K61" i="1"/>
  <c r="K20" i="1"/>
  <c r="K121" i="1"/>
  <c r="K70" i="1"/>
  <c r="K81" i="1"/>
  <c r="K68" i="1"/>
  <c r="K64" i="1"/>
  <c r="K5" i="1"/>
  <c r="K29" i="1"/>
  <c r="K60" i="1"/>
  <c r="K13" i="1"/>
  <c r="K124" i="1"/>
  <c r="K115" i="1"/>
</calcChain>
</file>

<file path=xl/sharedStrings.xml><?xml version="1.0" encoding="utf-8"?>
<sst xmlns="http://schemas.openxmlformats.org/spreadsheetml/2006/main" count="849" uniqueCount="210">
  <si>
    <t>B2.001.A1.D1</t>
  </si>
  <si>
    <t/>
  </si>
  <si>
    <t>B2.001.A1.L1</t>
  </si>
  <si>
    <t>B2.001.A2.B1</t>
  </si>
  <si>
    <t>B2.001.B1.D1</t>
  </si>
  <si>
    <t>B2.001.B1.L1</t>
  </si>
  <si>
    <t>B2.001.C1.D1</t>
  </si>
  <si>
    <t>B2.001.C1.L1</t>
  </si>
  <si>
    <t>B2.001.D1.D1</t>
  </si>
  <si>
    <t>B2.001.D1.L1</t>
  </si>
  <si>
    <t>B2.001.E1.D1</t>
  </si>
  <si>
    <t>B2.001.E1.L1</t>
  </si>
  <si>
    <t>B2.001.E2.B1</t>
  </si>
  <si>
    <t>B2.001.F1.D1</t>
  </si>
  <si>
    <t>B2.001.F1.L1</t>
  </si>
  <si>
    <t>B2.001.F2.B1</t>
  </si>
  <si>
    <t>B2.001.G1.D1</t>
  </si>
  <si>
    <t>B2.001.G1.L1</t>
  </si>
  <si>
    <t>B2.001.G2.B1</t>
  </si>
  <si>
    <t>B2.001.H1.D1</t>
  </si>
  <si>
    <t>B2.001.H1.L1</t>
  </si>
  <si>
    <t>B2.001.H2.B1</t>
  </si>
  <si>
    <t>B2.001.I1.D1</t>
  </si>
  <si>
    <t>B2.001.I1.L1</t>
  </si>
  <si>
    <t>B2.001.I2.B1</t>
  </si>
  <si>
    <t>B2.001.J1.D1</t>
  </si>
  <si>
    <t>B2.001.J1.L1</t>
  </si>
  <si>
    <t>B2.001.K1.D1</t>
  </si>
  <si>
    <t>B2.001.K1.L1</t>
  </si>
  <si>
    <t>B2.001.L1.D1</t>
  </si>
  <si>
    <t>B2.001.L1.L1</t>
  </si>
  <si>
    <t>B2.002.A1.D1</t>
  </si>
  <si>
    <t>B2.002.A1.L1</t>
  </si>
  <si>
    <t>B2.002.A2.B1</t>
  </si>
  <si>
    <t>B2.002.B1.D1</t>
  </si>
  <si>
    <t>B2.002.B1.L1</t>
  </si>
  <si>
    <t>B2.002.B2.B1</t>
  </si>
  <si>
    <t>B2.002.C1.D1</t>
  </si>
  <si>
    <t>B2.002.C1.L1</t>
  </si>
  <si>
    <t>B2.002.D1.D1</t>
  </si>
  <si>
    <t>B2.002.D1.L1</t>
  </si>
  <si>
    <t>B2.002.E1.D1</t>
  </si>
  <si>
    <t>B2.002.E1.L1</t>
  </si>
  <si>
    <t>B2.002.F1.D1</t>
  </si>
  <si>
    <t>B2.002.F1.L1</t>
  </si>
  <si>
    <t>B2.002.G1.D1</t>
  </si>
  <si>
    <t>B2.002.G1.L1</t>
  </si>
  <si>
    <t>B2.002.H1.D1</t>
  </si>
  <si>
    <t>B2.002.H1.L1</t>
  </si>
  <si>
    <t>B2.002.I1.D1</t>
  </si>
  <si>
    <t>B2.002.I1.L1</t>
  </si>
  <si>
    <t>B2.002.J1.D1</t>
  </si>
  <si>
    <t>B2.002.J1.L1</t>
  </si>
  <si>
    <t>B2.002.K1.D1</t>
  </si>
  <si>
    <t>B2.002.K1.L1</t>
  </si>
  <si>
    <t>B2.002.L1.D1</t>
  </si>
  <si>
    <t>B2.002.L1.L1</t>
  </si>
  <si>
    <t>B2.002.M1.D1</t>
  </si>
  <si>
    <t>B2.002.M1.L1</t>
  </si>
  <si>
    <t>B2.003.A1.D1</t>
  </si>
  <si>
    <t>B2.003.A1.L1</t>
  </si>
  <si>
    <t>B2.003.A2.B1</t>
  </si>
  <si>
    <t>B2.003.B1.D1</t>
  </si>
  <si>
    <t>B2.003.B1.L1</t>
  </si>
  <si>
    <t>B2.003.B2.B1</t>
  </si>
  <si>
    <t>B2.003.G2.B1</t>
  </si>
  <si>
    <t>B2.003.H2.B1</t>
  </si>
  <si>
    <t>B2.003.J1.D1</t>
  </si>
  <si>
    <t>B2.003.J1.L1</t>
  </si>
  <si>
    <t>B2.003.J2.B1</t>
  </si>
  <si>
    <t>B2.004.B1.D1</t>
  </si>
  <si>
    <t>B2.004.B1.L1</t>
  </si>
  <si>
    <t>B2.004.B2.B1</t>
  </si>
  <si>
    <t>B2.004.C1.D1</t>
  </si>
  <si>
    <t>B2.004.C1.L1</t>
  </si>
  <si>
    <t>B2.004.C2.B1</t>
  </si>
  <si>
    <t>B2.004.E1.D1</t>
  </si>
  <si>
    <t>B2.004.E1.L1</t>
  </si>
  <si>
    <t>B2.004.E2.B1</t>
  </si>
  <si>
    <t>B2.004.F1.D1</t>
  </si>
  <si>
    <t>B2.004.F1.L1</t>
  </si>
  <si>
    <t>B2.004.F2.B1</t>
  </si>
  <si>
    <t>B2.004.G1.D1</t>
  </si>
  <si>
    <t>B2.004.G1.L1</t>
  </si>
  <si>
    <t>B2.004.G2.B1</t>
  </si>
  <si>
    <t>B2.005.B1.D1</t>
  </si>
  <si>
    <t>B2.005.B1.L1</t>
  </si>
  <si>
    <t>B2.005.B2.B1</t>
  </si>
  <si>
    <t>B2.005.C1.D1</t>
  </si>
  <si>
    <t>B2.005.C1.L1</t>
  </si>
  <si>
    <t>B2.005.C2.B1</t>
  </si>
  <si>
    <t>B2.005.G1.D1</t>
  </si>
  <si>
    <t>B2.005.G1.L1</t>
  </si>
  <si>
    <t>B2.005.G2.B1</t>
  </si>
  <si>
    <t>B2.005.H1.D1</t>
  </si>
  <si>
    <t>B2.005.H1.L1</t>
  </si>
  <si>
    <t>B2.005.H2.B1</t>
  </si>
  <si>
    <t>B2.005.J1.D1</t>
  </si>
  <si>
    <t>B2.005.J1.L1</t>
  </si>
  <si>
    <t>B2.005.J2.B1</t>
  </si>
  <si>
    <t>B2.005.K1.D1</t>
  </si>
  <si>
    <t>B2.005.K1.L1</t>
  </si>
  <si>
    <t>B2.005.K2.B1</t>
  </si>
  <si>
    <t>B2.006.A1.D1</t>
  </si>
  <si>
    <t>B2.006.A1.L1</t>
  </si>
  <si>
    <t>B2.006.A2.B1</t>
  </si>
  <si>
    <t>B2.006.B1.D1</t>
  </si>
  <si>
    <t>B2.006.B1.L1</t>
  </si>
  <si>
    <t>B2.006.B2.B1</t>
  </si>
  <si>
    <t>B2.006.G1.D1</t>
  </si>
  <si>
    <t>B2.006.G1.L1</t>
  </si>
  <si>
    <t>B2.006.G2.B1</t>
  </si>
  <si>
    <t>B2.006.I1.D1</t>
  </si>
  <si>
    <t>B2.006.I1.L1</t>
  </si>
  <si>
    <t>B2.006.I2.B1</t>
  </si>
  <si>
    <t>B2.007.B1.D1</t>
  </si>
  <si>
    <t>B2.007.B1.L1</t>
  </si>
  <si>
    <t>B2.007.B2.B1</t>
  </si>
  <si>
    <t>B2.007.C1.D1</t>
  </si>
  <si>
    <t>B2.007.C1.L1</t>
  </si>
  <si>
    <t>B2.007.C2.B1</t>
  </si>
  <si>
    <t>B2.007.D1.D1</t>
  </si>
  <si>
    <t>B2.007.D1.L1</t>
  </si>
  <si>
    <t>B2.007.D2.B1</t>
  </si>
  <si>
    <t>B2.007.F1.D1</t>
  </si>
  <si>
    <t>B2.007.F1.L1</t>
  </si>
  <si>
    <t>B2.007.F2.B1</t>
  </si>
  <si>
    <t>B2.007.G1.D1</t>
  </si>
  <si>
    <t>B2.007.G1.L1</t>
  </si>
  <si>
    <t>B2.007.G2.B1</t>
  </si>
  <si>
    <t>B2.007.J1.D1</t>
  </si>
  <si>
    <t>B2.007.J1.L1</t>
  </si>
  <si>
    <t>B2.007.J2.B1</t>
  </si>
  <si>
    <t>B2.007.K1.D1</t>
  </si>
  <si>
    <t>B2.007.K1.L1</t>
  </si>
  <si>
    <t>B2.007.K2.B1</t>
  </si>
  <si>
    <t>B2.009.A1.D1</t>
  </si>
  <si>
    <t>B2.009.A1.L1</t>
  </si>
  <si>
    <t>B2.009.A2.B1</t>
  </si>
  <si>
    <t>B2.009.E1.D1</t>
  </si>
  <si>
    <t>B2.009.E1.L1</t>
  </si>
  <si>
    <t>B2.009.E2.B1</t>
  </si>
  <si>
    <t>B2.009.F1.D1</t>
  </si>
  <si>
    <t>B2.009.F1.L1</t>
  </si>
  <si>
    <t>B2.009.F2.B1</t>
  </si>
  <si>
    <t>B2.009.G1.D1</t>
  </si>
  <si>
    <t>B2.009.G1.L1</t>
  </si>
  <si>
    <t>B2.009.G2.B1</t>
  </si>
  <si>
    <t>Sample</t>
  </si>
  <si>
    <t>degr</t>
  </si>
  <si>
    <t>degrSD</t>
  </si>
  <si>
    <t>cat</t>
  </si>
  <si>
    <t>xtrc</t>
  </si>
  <si>
    <t>Dabney</t>
  </si>
  <si>
    <t>Tissue</t>
  </si>
  <si>
    <t>Loreille</t>
  </si>
  <si>
    <t>350-550</t>
  </si>
  <si>
    <t>Humerus</t>
  </si>
  <si>
    <t>Phalanx</t>
  </si>
  <si>
    <t>Rib</t>
  </si>
  <si>
    <t>200-300</t>
  </si>
  <si>
    <t>250-325</t>
  </si>
  <si>
    <t>Metacarpal</t>
  </si>
  <si>
    <t>Vertebra</t>
  </si>
  <si>
    <t>Femur</t>
  </si>
  <si>
    <t>Navicular</t>
  </si>
  <si>
    <t>300-350</t>
  </si>
  <si>
    <t>Tibia</t>
  </si>
  <si>
    <t>550-600</t>
  </si>
  <si>
    <t>600-650</t>
  </si>
  <si>
    <t>Calcaneus</t>
  </si>
  <si>
    <t>Talus</t>
  </si>
  <si>
    <t>loci</t>
  </si>
  <si>
    <t>drops</t>
  </si>
  <si>
    <t>propdrop</t>
  </si>
  <si>
    <t>propmatching</t>
  </si>
  <si>
    <t>calc</t>
  </si>
  <si>
    <t>femur</t>
  </si>
  <si>
    <t>humer</t>
  </si>
  <si>
    <t>dabney</t>
  </si>
  <si>
    <t>loreille</t>
  </si>
  <si>
    <t>tissue</t>
  </si>
  <si>
    <t>meta</t>
  </si>
  <si>
    <t>navi</t>
  </si>
  <si>
    <t>coxa</t>
  </si>
  <si>
    <t>phalanx</t>
  </si>
  <si>
    <t>rib</t>
  </si>
  <si>
    <t>talus</t>
  </si>
  <si>
    <t>tib</t>
  </si>
  <si>
    <t>vert</t>
  </si>
  <si>
    <t>Ilium</t>
  </si>
  <si>
    <t>fraglength</t>
  </si>
  <si>
    <t>total_DNA</t>
  </si>
  <si>
    <t>raw_conc</t>
  </si>
  <si>
    <t>Extraction Type</t>
  </si>
  <si>
    <t>Skeletal Element</t>
  </si>
  <si>
    <t>Burn Category</t>
  </si>
  <si>
    <t>Endogenous DNA</t>
  </si>
  <si>
    <t>Endogenous DNA (Standard Deviation)</t>
  </si>
  <si>
    <t>Allele Drops</t>
  </si>
  <si>
    <t>Efficiency Endogenous DNA</t>
  </si>
  <si>
    <t>Efficiency of Raw DNA</t>
  </si>
  <si>
    <t>success rate</t>
  </si>
  <si>
    <t>profs = % of profiles &gt;13</t>
  </si>
  <si>
    <t>n</t>
  </si>
  <si>
    <t>rate</t>
  </si>
  <si>
    <t>profs</t>
  </si>
  <si>
    <t>success</t>
  </si>
  <si>
    <t>Efficiency of raw DNA</t>
  </si>
  <si>
    <t>Efficiency of end 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</si>
</sst>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Lucida Grande"/>
      <family val="2"/>
    </font>
    <font>
      <b/>
      <sz val="11"/>
      <color rgb="FF000000"/>
      <name val="Lucida Grande"/>
      <family val="2"/>
    </font>
    <font>
      <sz val="12"/>
      <color rgb="FF000000"/>
      <name val="Liberation Sans"/>
    </font>
    <font>
      <b/>
      <sz val="12"/>
      <color rgb="FF3F3F3F"/>
      <name val="Calibri"/>
      <family val="2"/>
      <scheme val="minor"/>
    </font>
    <font>
      <sz val="12"/>
      <color rgb="FF3F3F7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">
    <xf numFmtId="0" fontId="0" fillId="0" borderId="0"/>
    <xf numFmtId="0" fontId="7" fillId="0" borderId="0"/>
    <xf numFmtId="0" fontId="8" fillId="4" borderId="4" applyNumberFormat="0" applyAlignment="0" applyProtection="0"/>
    <xf numFmtId="0" fontId="9" fillId="3" borderId="3" applyNumberFormat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vertical="center"/>
    </xf>
    <xf numFmtId="2" fontId="0" fillId="0" borderId="0" xfId="0" applyNumberFormat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4" fillId="0" borderId="0" xfId="0" applyFont="1"/>
    <xf numFmtId="11" fontId="4" fillId="0" borderId="0" xfId="0" applyNumberFormat="1" applyFont="1"/>
    <xf numFmtId="0" fontId="0" fillId="2" borderId="0" xfId="0" applyFill="1"/>
    <xf numFmtId="0" fontId="0" fillId="0" borderId="0" xfId="0" applyBorder="1"/>
    <xf numFmtId="11" fontId="0" fillId="0" borderId="0" xfId="0" applyNumberFormat="1"/>
    <xf numFmtId="0" fontId="0" fillId="0" borderId="0" xfId="0" applyFill="1" applyAlignment="1">
      <alignment horizontal="center"/>
    </xf>
    <xf numFmtId="0" fontId="0" fillId="0" borderId="0" xfId="0" applyFill="1"/>
    <xf numFmtId="0" fontId="5" fillId="0" borderId="0" xfId="0" applyFont="1"/>
    <xf numFmtId="0" fontId="6" fillId="0" borderId="0" xfId="0" applyFont="1"/>
  </cellXfs>
  <cellStyles count="4">
    <cellStyle name="Input 2" xfId="3" xr:uid="{75DB185E-D94C-4678-9286-440FEA53595C}"/>
    <cellStyle name="Normal" xfId="0" builtinId="0"/>
    <cellStyle name="Normal 2" xfId="1" xr:uid="{94CD5749-E457-4F71-B683-2F4BFCBA7193}"/>
    <cellStyle name="Output 2" xfId="2" xr:uid="{0779A29D-5E51-42CD-B1B2-0EB1B7FC4165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CAF10-9C02-D740-B34A-9F0394A16F64}">
  <dimension ref="A1:Y151"/>
  <sheetViews>
    <sheetView tabSelected="1" zoomScale="80" zoomScaleNormal="80" workbookViewId="0">
      <pane ySplit="1" topLeftCell="A2" activePane="bottomLeft" state="frozen"/>
      <selection pane="bottomLeft" activeCell="V107" sqref="V107"/>
    </sheetView>
  </sheetViews>
  <sheetFormatPr defaultColWidth="11.19921875" defaultRowHeight="15.6"/>
  <cols>
    <col min="13" max="13" width="10.796875" style="4"/>
    <col min="18" max="18" width="11.8984375" bestFit="1" customWidth="1"/>
  </cols>
  <sheetData>
    <row r="1" spans="1:19">
      <c r="A1" t="s">
        <v>148</v>
      </c>
      <c r="B1" t="s">
        <v>194</v>
      </c>
      <c r="C1" t="s">
        <v>195</v>
      </c>
      <c r="D1" t="s">
        <v>196</v>
      </c>
      <c r="E1" t="s">
        <v>197</v>
      </c>
      <c r="F1" t="s">
        <v>198</v>
      </c>
      <c r="G1" t="s">
        <v>149</v>
      </c>
      <c r="H1" t="s">
        <v>150</v>
      </c>
      <c r="I1" t="s">
        <v>172</v>
      </c>
      <c r="J1" t="s">
        <v>199</v>
      </c>
      <c r="K1" t="s">
        <v>174</v>
      </c>
      <c r="L1" t="s">
        <v>175</v>
      </c>
      <c r="M1" s="4" t="s">
        <v>200</v>
      </c>
      <c r="N1" t="s">
        <v>201</v>
      </c>
      <c r="O1" t="s">
        <v>191</v>
      </c>
      <c r="P1" t="s">
        <v>192</v>
      </c>
      <c r="Q1" t="s">
        <v>193</v>
      </c>
    </row>
    <row r="2" spans="1:19">
      <c r="A2" s="1" t="s">
        <v>45</v>
      </c>
      <c r="B2" s="1" t="s">
        <v>153</v>
      </c>
      <c r="C2" s="1" t="s">
        <v>164</v>
      </c>
      <c r="D2" s="1" t="s">
        <v>161</v>
      </c>
      <c r="E2" s="1">
        <v>3.4198615700006485E-2</v>
      </c>
      <c r="F2" s="1">
        <v>2.1427594125270844E-2</v>
      </c>
      <c r="G2" s="1">
        <v>6.6273136138916016</v>
      </c>
      <c r="H2" s="1">
        <v>1.2066254615783691</v>
      </c>
      <c r="I2" s="1">
        <v>27</v>
      </c>
      <c r="J2" s="1">
        <v>2</v>
      </c>
      <c r="K2">
        <f>J2/I2</f>
        <v>7.407407407407407E-2</v>
      </c>
      <c r="L2">
        <f>42/44</f>
        <v>0.95454545454545459</v>
      </c>
      <c r="M2" s="7">
        <v>6.6924892370000003E-2</v>
      </c>
      <c r="N2">
        <v>0.31115459882583169</v>
      </c>
      <c r="P2">
        <f>N2*50</f>
        <v>15.557729941291583</v>
      </c>
      <c r="Q2">
        <f>P2/100</f>
        <v>0.15557729941291584</v>
      </c>
    </row>
    <row r="3" spans="1:19">
      <c r="A3" s="1" t="s">
        <v>142</v>
      </c>
      <c r="B3" s="1" t="s">
        <v>153</v>
      </c>
      <c r="C3" s="3" t="s">
        <v>190</v>
      </c>
      <c r="D3" s="1" t="s">
        <v>166</v>
      </c>
      <c r="E3" s="1">
        <v>273.397216796875</v>
      </c>
      <c r="F3" s="1">
        <v>16.162961959838867</v>
      </c>
      <c r="G3" s="1">
        <v>0.85038018226623535</v>
      </c>
      <c r="H3" s="1">
        <v>0.14450341463088989</v>
      </c>
      <c r="I3" s="1">
        <v>27</v>
      </c>
      <c r="J3" s="1">
        <v>0</v>
      </c>
      <c r="K3">
        <f>J3/I3</f>
        <v>0</v>
      </c>
      <c r="L3" s="1">
        <v>1</v>
      </c>
      <c r="M3" s="7">
        <v>553.43566190000001</v>
      </c>
      <c r="N3">
        <v>712.55060728744945</v>
      </c>
      <c r="P3">
        <f>N3*50</f>
        <v>35627.530364372469</v>
      </c>
      <c r="Q3">
        <f>P3/100</f>
        <v>356.27530364372467</v>
      </c>
    </row>
    <row r="4" spans="1:19">
      <c r="A4" s="1" t="s">
        <v>139</v>
      </c>
      <c r="B4" s="1" t="s">
        <v>153</v>
      </c>
      <c r="C4" s="1" t="s">
        <v>159</v>
      </c>
      <c r="D4" s="1" t="s">
        <v>166</v>
      </c>
      <c r="E4" s="1">
        <v>177.48664855957031</v>
      </c>
      <c r="F4" s="1">
        <v>38.2493896484375</v>
      </c>
      <c r="G4" s="1">
        <v>2.5544466972351074</v>
      </c>
      <c r="H4" s="1">
        <v>0.18324624001979828</v>
      </c>
      <c r="I4" s="1">
        <v>27</v>
      </c>
      <c r="J4" s="1">
        <v>1</v>
      </c>
      <c r="K4">
        <f>J4/I4</f>
        <v>3.7037037037037035E-2</v>
      </c>
      <c r="L4">
        <f>41/44</f>
        <v>0.93181818181818177</v>
      </c>
      <c r="M4" s="7">
        <v>355.6846673</v>
      </c>
      <c r="N4">
        <v>137.27454909819639</v>
      </c>
      <c r="P4">
        <f>N4*50</f>
        <v>6863.7274549098192</v>
      </c>
      <c r="Q4">
        <f>P4/100</f>
        <v>68.637274549098194</v>
      </c>
    </row>
    <row r="5" spans="1:19">
      <c r="A5" s="1" t="s">
        <v>25</v>
      </c>
      <c r="B5" s="1" t="s">
        <v>153</v>
      </c>
      <c r="C5" s="1" t="s">
        <v>163</v>
      </c>
      <c r="D5" s="1" t="s">
        <v>161</v>
      </c>
      <c r="E5" s="1">
        <v>0.24026140570640564</v>
      </c>
      <c r="F5" s="1">
        <v>0.11362652480602264</v>
      </c>
      <c r="G5" s="1">
        <v>3.4121615886688232</v>
      </c>
      <c r="H5" s="1">
        <v>0.36731213331222534</v>
      </c>
      <c r="I5" s="1">
        <v>27</v>
      </c>
      <c r="J5" s="1">
        <v>0</v>
      </c>
      <c r="K5">
        <f>J5/I5</f>
        <v>0</v>
      </c>
      <c r="L5" s="1">
        <v>1</v>
      </c>
      <c r="M5" s="7">
        <v>0.46115433779999998</v>
      </c>
      <c r="N5">
        <v>0.14664107485604608</v>
      </c>
      <c r="P5">
        <f>N5*50</f>
        <v>7.3320537428023043</v>
      </c>
      <c r="Q5">
        <f>P5/100</f>
        <v>7.3320537428023039E-2</v>
      </c>
    </row>
    <row r="6" spans="1:19">
      <c r="A6" s="1" t="s">
        <v>41</v>
      </c>
      <c r="B6" s="1" t="s">
        <v>153</v>
      </c>
      <c r="C6" s="1" t="s">
        <v>163</v>
      </c>
      <c r="D6" s="1" t="s">
        <v>156</v>
      </c>
      <c r="E6" s="1">
        <v>1.3508019037544727E-3</v>
      </c>
      <c r="F6" s="1">
        <v>8.7384411017410457E-5</v>
      </c>
      <c r="G6" s="1">
        <v>0.97436171770095825</v>
      </c>
      <c r="H6" s="1">
        <v>0.30001905560493469</v>
      </c>
      <c r="I6" s="1">
        <v>26</v>
      </c>
      <c r="J6" s="1">
        <v>0</v>
      </c>
      <c r="K6">
        <f>J6/I6</f>
        <v>0</v>
      </c>
      <c r="L6" s="1">
        <v>1</v>
      </c>
      <c r="M6" s="7">
        <v>2.831865828E-3</v>
      </c>
      <c r="N6">
        <v>0.16226415094339622</v>
      </c>
      <c r="P6">
        <f>N6*50</f>
        <v>8.1132075471698109</v>
      </c>
      <c r="Q6">
        <f>P6/100</f>
        <v>8.1132075471698109E-2</v>
      </c>
      <c r="S6" s="10"/>
    </row>
    <row r="7" spans="1:19">
      <c r="A7" s="1" t="s">
        <v>47</v>
      </c>
      <c r="B7" s="1" t="s">
        <v>153</v>
      </c>
      <c r="C7" s="1" t="s">
        <v>164</v>
      </c>
      <c r="D7" s="1" t="s">
        <v>161</v>
      </c>
      <c r="E7" s="1">
        <v>1.1295512914657593</v>
      </c>
      <c r="F7" s="1">
        <v>0.23395897448062897</v>
      </c>
      <c r="G7" s="1">
        <v>5.4479250907897949</v>
      </c>
      <c r="H7" s="1">
        <v>1.0805460214614868</v>
      </c>
      <c r="I7" s="1">
        <v>24</v>
      </c>
      <c r="J7" s="1">
        <v>2</v>
      </c>
      <c r="K7">
        <f>J7/I7</f>
        <v>8.3333333333333329E-2</v>
      </c>
      <c r="L7">
        <f>35/38</f>
        <v>0.92105263157894735</v>
      </c>
      <c r="M7" s="7">
        <v>2.2411731939999999</v>
      </c>
      <c r="N7">
        <v>1.4365079365079365</v>
      </c>
      <c r="P7">
        <f>N7*50</f>
        <v>71.825396825396822</v>
      </c>
      <c r="Q7">
        <f>P7/100</f>
        <v>0.71825396825396826</v>
      </c>
    </row>
    <row r="8" spans="1:19">
      <c r="A8" s="1" t="s">
        <v>39</v>
      </c>
      <c r="B8" s="1" t="s">
        <v>153</v>
      </c>
      <c r="C8" s="1" t="s">
        <v>162</v>
      </c>
      <c r="D8" s="1" t="s">
        <v>160</v>
      </c>
      <c r="E8" s="1">
        <v>1.0447750091552734</v>
      </c>
      <c r="F8" s="1">
        <v>7.0994719862937927E-2</v>
      </c>
      <c r="G8" s="1">
        <v>15.546353340148926</v>
      </c>
      <c r="H8" s="1">
        <v>1.0152022838592529</v>
      </c>
      <c r="I8" s="1">
        <v>24</v>
      </c>
      <c r="J8" s="1">
        <v>2</v>
      </c>
      <c r="K8">
        <f>J8/I8</f>
        <v>8.3333333333333329E-2</v>
      </c>
      <c r="L8">
        <f>42/44</f>
        <v>0.95454545454545459</v>
      </c>
      <c r="M8" s="7">
        <v>2.048578451</v>
      </c>
      <c r="N8">
        <v>1.7686274509803923</v>
      </c>
      <c r="P8">
        <f>N8*50</f>
        <v>88.431372549019613</v>
      </c>
      <c r="Q8">
        <f>P8/100</f>
        <v>0.88431372549019616</v>
      </c>
    </row>
    <row r="9" spans="1:19">
      <c r="A9" s="1" t="s">
        <v>62</v>
      </c>
      <c r="B9" s="1" t="s">
        <v>153</v>
      </c>
      <c r="C9" s="1" t="s">
        <v>158</v>
      </c>
      <c r="D9" s="1" t="s">
        <v>166</v>
      </c>
      <c r="E9" s="1">
        <v>3.0962605029344559E-2</v>
      </c>
      <c r="F9" s="1">
        <v>8.2374317571520805E-3</v>
      </c>
      <c r="G9" s="1">
        <v>6.7670764923095703</v>
      </c>
      <c r="H9" s="1">
        <v>0.7821652889251709</v>
      </c>
      <c r="I9" s="1">
        <v>24</v>
      </c>
      <c r="J9" s="1">
        <v>2</v>
      </c>
      <c r="K9">
        <f>J9/I9</f>
        <v>8.3333333333333329E-2</v>
      </c>
      <c r="L9">
        <f>30/34</f>
        <v>0.88235294117647056</v>
      </c>
      <c r="M9" s="7">
        <v>6.2804482760000002E-2</v>
      </c>
      <c r="N9">
        <v>0.1156186612576065</v>
      </c>
      <c r="O9">
        <v>443.5</v>
      </c>
      <c r="P9">
        <f>N9*50</f>
        <v>5.780933062880325</v>
      </c>
      <c r="Q9">
        <f>P9/100</f>
        <v>5.7809330628803252E-2</v>
      </c>
    </row>
    <row r="10" spans="1:19">
      <c r="A10" s="1" t="s">
        <v>85</v>
      </c>
      <c r="B10" s="1" t="s">
        <v>153</v>
      </c>
      <c r="C10" s="1" t="s">
        <v>159</v>
      </c>
      <c r="D10" s="1" t="s">
        <v>160</v>
      </c>
      <c r="E10" s="1">
        <v>5.6705889701843262</v>
      </c>
      <c r="F10" s="1">
        <v>5.6858457624912262E-2</v>
      </c>
      <c r="G10" s="1">
        <v>689.18499755859375</v>
      </c>
      <c r="H10" s="1" t="s">
        <v>1</v>
      </c>
      <c r="I10" s="1">
        <v>24</v>
      </c>
      <c r="J10" s="1">
        <v>0</v>
      </c>
      <c r="K10">
        <f>J10/I10</f>
        <v>0</v>
      </c>
      <c r="L10" s="1">
        <v>1</v>
      </c>
      <c r="M10" s="7">
        <v>11.363905750000001</v>
      </c>
      <c r="N10">
        <v>12.424849699398798</v>
      </c>
      <c r="P10">
        <f>N10*50</f>
        <v>621.24248496993994</v>
      </c>
      <c r="Q10">
        <f>P10/100</f>
        <v>6.2124248496993992</v>
      </c>
    </row>
    <row r="11" spans="1:19">
      <c r="A11" s="1" t="s">
        <v>70</v>
      </c>
      <c r="B11" s="1" t="s">
        <v>153</v>
      </c>
      <c r="C11" s="1" t="s">
        <v>159</v>
      </c>
      <c r="D11" s="1" t="s">
        <v>166</v>
      </c>
      <c r="E11" s="1">
        <v>0.2462114691734314</v>
      </c>
      <c r="F11" s="1">
        <v>5.837602075189352E-3</v>
      </c>
      <c r="G11" s="1">
        <v>3.3214731216430664</v>
      </c>
      <c r="H11" s="1">
        <v>0.10483590513467789</v>
      </c>
      <c r="I11" s="1">
        <v>24</v>
      </c>
      <c r="J11" s="1">
        <v>0</v>
      </c>
      <c r="K11">
        <f>J11/I11</f>
        <v>0</v>
      </c>
      <c r="L11" s="1">
        <v>1</v>
      </c>
      <c r="M11" s="7">
        <v>0.48851482140000002</v>
      </c>
      <c r="N11">
        <v>2.3809523809523809</v>
      </c>
      <c r="O11">
        <v>412.5</v>
      </c>
      <c r="P11">
        <f>N11*50</f>
        <v>119.04761904761905</v>
      </c>
      <c r="Q11">
        <f>P11/100</f>
        <v>1.1904761904761905</v>
      </c>
    </row>
    <row r="12" spans="1:19">
      <c r="A12" s="1" t="s">
        <v>0</v>
      </c>
      <c r="B12" s="1" t="s">
        <v>153</v>
      </c>
      <c r="C12" s="1" t="s">
        <v>157</v>
      </c>
      <c r="D12" t="s">
        <v>156</v>
      </c>
      <c r="E12" s="1">
        <v>1.5929940938949585</v>
      </c>
      <c r="F12" s="1" t="s">
        <v>1</v>
      </c>
      <c r="G12" s="1">
        <v>250.34364318847656</v>
      </c>
      <c r="H12" s="1" t="s">
        <v>1</v>
      </c>
      <c r="I12">
        <v>22</v>
      </c>
      <c r="J12" s="1">
        <v>2</v>
      </c>
      <c r="K12">
        <f>J12/I12</f>
        <v>9.0909090909090912E-2</v>
      </c>
      <c r="L12">
        <f>35/37</f>
        <v>0.94594594594594594</v>
      </c>
      <c r="M12" s="7">
        <v>3.271035092</v>
      </c>
      <c r="N12">
        <v>2.3819301848049278E-2</v>
      </c>
      <c r="O12">
        <v>629.5</v>
      </c>
      <c r="P12">
        <f>N12*50</f>
        <v>1.190965092402464</v>
      </c>
      <c r="Q12">
        <f>P12/100</f>
        <v>1.1909650924024639E-2</v>
      </c>
    </row>
    <row r="13" spans="1:19">
      <c r="A13" s="1" t="s">
        <v>22</v>
      </c>
      <c r="B13" s="1" t="s">
        <v>153</v>
      </c>
      <c r="C13" s="1" t="s">
        <v>190</v>
      </c>
      <c r="D13" s="1" t="s">
        <v>161</v>
      </c>
      <c r="E13" s="1">
        <v>5.5304087698459625E-2</v>
      </c>
      <c r="F13" s="1">
        <v>2.9254935681819916E-2</v>
      </c>
      <c r="G13" s="1">
        <v>17.964405059814453</v>
      </c>
      <c r="H13" s="1">
        <v>0.39608597755432129</v>
      </c>
      <c r="I13" s="1">
        <v>22</v>
      </c>
      <c r="J13" s="1">
        <v>4</v>
      </c>
      <c r="K13">
        <f>J13/I13</f>
        <v>0.18181818181818182</v>
      </c>
      <c r="L13">
        <f>31/36</f>
        <v>0.86111111111111116</v>
      </c>
      <c r="M13" s="7">
        <v>0.11263562119999999</v>
      </c>
      <c r="N13">
        <v>0.15315682281059065</v>
      </c>
      <c r="O13">
        <v>338</v>
      </c>
      <c r="P13">
        <f>N13*50</f>
        <v>7.6578411405295324</v>
      </c>
      <c r="Q13">
        <f>P13/100</f>
        <v>7.6578411405295324E-2</v>
      </c>
    </row>
    <row r="14" spans="1:19">
      <c r="A14" s="1" t="s">
        <v>79</v>
      </c>
      <c r="B14" s="1" t="s">
        <v>153</v>
      </c>
      <c r="C14" s="1" t="s">
        <v>190</v>
      </c>
      <c r="D14" s="1" t="s">
        <v>166</v>
      </c>
      <c r="E14" s="1">
        <v>7.6095223426818848E-2</v>
      </c>
      <c r="F14" s="1">
        <v>1.2972899712622166E-2</v>
      </c>
      <c r="G14" s="1">
        <v>4.1561894416809082</v>
      </c>
      <c r="H14" s="1">
        <v>0.14700955152511597</v>
      </c>
      <c r="I14" s="1">
        <v>22</v>
      </c>
      <c r="J14" s="1">
        <v>1</v>
      </c>
      <c r="K14">
        <f>J14/I14</f>
        <v>4.5454545454545456E-2</v>
      </c>
      <c r="L14">
        <f>34/35</f>
        <v>0.97142857142857142</v>
      </c>
      <c r="M14" s="7">
        <v>0.15128274350000001</v>
      </c>
      <c r="N14">
        <v>0.73558648111332015</v>
      </c>
      <c r="O14">
        <v>560</v>
      </c>
      <c r="P14">
        <f>N14*50</f>
        <v>36.779324055666009</v>
      </c>
      <c r="Q14">
        <f>P14/100</f>
        <v>0.36779324055666007</v>
      </c>
    </row>
    <row r="15" spans="1:19">
      <c r="A15" s="1" t="s">
        <v>73</v>
      </c>
      <c r="B15" s="1" t="s">
        <v>153</v>
      </c>
      <c r="C15" s="1" t="s">
        <v>159</v>
      </c>
      <c r="D15" s="1" t="s">
        <v>156</v>
      </c>
      <c r="E15" s="1">
        <v>0.15474569797515869</v>
      </c>
      <c r="F15" s="1">
        <v>1.0822025127708912E-2</v>
      </c>
      <c r="G15" s="1">
        <v>6.7474336624145508</v>
      </c>
      <c r="H15" s="1">
        <v>0.55442625284194946</v>
      </c>
      <c r="I15" s="1">
        <v>22</v>
      </c>
      <c r="J15" s="1">
        <v>1</v>
      </c>
      <c r="K15">
        <f>J15/I15</f>
        <v>4.5454545454545456E-2</v>
      </c>
      <c r="L15">
        <f>34/35</f>
        <v>0.97142857142857142</v>
      </c>
      <c r="M15" s="7">
        <v>0.30825836649999999</v>
      </c>
      <c r="N15">
        <v>2.5099601593625498</v>
      </c>
      <c r="O15">
        <v>283</v>
      </c>
      <c r="P15">
        <f>N15*50</f>
        <v>125.4980079681275</v>
      </c>
      <c r="Q15">
        <f>P15/100</f>
        <v>1.2549800796812749</v>
      </c>
    </row>
    <row r="16" spans="1:19">
      <c r="A16" s="1" t="s">
        <v>43</v>
      </c>
      <c r="B16" s="1" t="s">
        <v>153</v>
      </c>
      <c r="C16" s="1" t="s">
        <v>164</v>
      </c>
      <c r="D16" s="1" t="s">
        <v>161</v>
      </c>
      <c r="E16" s="1">
        <v>5.591314285993576E-3</v>
      </c>
      <c r="F16" s="1">
        <v>1.2177442840766162E-4</v>
      </c>
      <c r="G16" s="1">
        <v>4.1184768676757813</v>
      </c>
      <c r="H16" s="1">
        <v>3.1115837395191193E-2</v>
      </c>
      <c r="I16" s="1">
        <v>21</v>
      </c>
      <c r="J16" s="1">
        <v>2</v>
      </c>
      <c r="K16">
        <f>J16/I16</f>
        <v>9.5238095238095233E-2</v>
      </c>
      <c r="L16">
        <f>31/34</f>
        <v>0.91176470588235292</v>
      </c>
      <c r="M16" s="7">
        <v>1.1227530120000001E-2</v>
      </c>
      <c r="N16">
        <v>0.18112449799196786</v>
      </c>
      <c r="P16">
        <f>N16*50</f>
        <v>9.0562248995983925</v>
      </c>
      <c r="Q16">
        <f>P16/100</f>
        <v>9.0562248995983918E-2</v>
      </c>
    </row>
    <row r="17" spans="1:17">
      <c r="A17" s="1" t="s">
        <v>136</v>
      </c>
      <c r="B17" s="1" t="s">
        <v>153</v>
      </c>
      <c r="C17" s="1" t="s">
        <v>158</v>
      </c>
      <c r="D17" s="1" t="s">
        <v>156</v>
      </c>
      <c r="E17" s="1">
        <v>3.0326997861266136E-2</v>
      </c>
      <c r="F17" s="1">
        <v>7.8245280310511589E-3</v>
      </c>
      <c r="G17" s="1">
        <v>5.1900215148925781</v>
      </c>
      <c r="H17" s="1">
        <v>0.31374451518058777</v>
      </c>
      <c r="I17" s="1">
        <v>21</v>
      </c>
      <c r="J17" s="1">
        <v>2</v>
      </c>
      <c r="K17">
        <f>J17/I17</f>
        <v>9.5238095238095233E-2</v>
      </c>
      <c r="L17">
        <f>31/34</f>
        <v>0.91176470588235292</v>
      </c>
      <c r="M17" s="7">
        <v>5.9934782610000001E-2</v>
      </c>
      <c r="N17">
        <v>0.21146245059288535</v>
      </c>
      <c r="P17">
        <f>N17*50</f>
        <v>10.573122529644268</v>
      </c>
      <c r="Q17">
        <f>P17/100</f>
        <v>0.10573122529644267</v>
      </c>
    </row>
    <row r="18" spans="1:17">
      <c r="A18" s="1" t="s">
        <v>76</v>
      </c>
      <c r="B18" s="1" t="s">
        <v>153</v>
      </c>
      <c r="C18" s="1" t="s">
        <v>163</v>
      </c>
      <c r="D18" s="1" t="s">
        <v>166</v>
      </c>
      <c r="E18" s="1">
        <v>10.370798110961914</v>
      </c>
      <c r="F18" s="1">
        <v>1.4322348833084106</v>
      </c>
      <c r="G18" s="1">
        <v>5.4677391052246094</v>
      </c>
      <c r="H18" s="1">
        <v>0.86957883834838867</v>
      </c>
      <c r="I18" s="1">
        <v>21</v>
      </c>
      <c r="J18" s="1">
        <v>1</v>
      </c>
      <c r="K18">
        <f>J18/I18</f>
        <v>4.7619047619047616E-2</v>
      </c>
      <c r="L18" s="1">
        <v>1</v>
      </c>
      <c r="M18" s="7">
        <v>20.374848920000002</v>
      </c>
      <c r="N18">
        <v>24.754420432220041</v>
      </c>
      <c r="O18">
        <v>330</v>
      </c>
      <c r="P18">
        <f>N18*50</f>
        <v>1237.721021611002</v>
      </c>
      <c r="Q18">
        <f>P18/100</f>
        <v>12.37721021611002</v>
      </c>
    </row>
    <row r="19" spans="1:17">
      <c r="A19" s="1" t="s">
        <v>51</v>
      </c>
      <c r="B19" s="1" t="s">
        <v>153</v>
      </c>
      <c r="C19" s="1" t="s">
        <v>164</v>
      </c>
      <c r="D19" s="1" t="s">
        <v>161</v>
      </c>
      <c r="E19" s="1">
        <v>1.22687928378582E-2</v>
      </c>
      <c r="F19" s="1">
        <v>2.9502793950086925E-6</v>
      </c>
      <c r="G19" s="1">
        <v>4.617518424987793</v>
      </c>
      <c r="H19" s="1">
        <v>0.36769416928291321</v>
      </c>
      <c r="I19" s="1">
        <v>19</v>
      </c>
      <c r="J19" s="1">
        <v>1</v>
      </c>
      <c r="K19">
        <f>J19/I19</f>
        <v>5.2631578947368418E-2</v>
      </c>
      <c r="M19" s="7">
        <v>2.4198796840000002E-2</v>
      </c>
      <c r="N19">
        <v>0.10769230769230768</v>
      </c>
      <c r="P19">
        <f>N19*50</f>
        <v>5.3846153846153841</v>
      </c>
      <c r="Q19">
        <f>P19/100</f>
        <v>5.3846153846153842E-2</v>
      </c>
    </row>
    <row r="20" spans="1:17">
      <c r="A20" s="1" t="s">
        <v>34</v>
      </c>
      <c r="B20" s="1" t="s">
        <v>153</v>
      </c>
      <c r="C20" s="1" t="s">
        <v>159</v>
      </c>
      <c r="D20" s="1" t="s">
        <v>160</v>
      </c>
      <c r="E20" s="1">
        <v>5.9288969039916992</v>
      </c>
      <c r="F20" s="1">
        <v>4.785029411315918</v>
      </c>
      <c r="G20" s="1">
        <v>30.688816070556641</v>
      </c>
      <c r="H20" s="1">
        <v>13.161675453186035</v>
      </c>
      <c r="I20" s="1">
        <v>19</v>
      </c>
      <c r="J20" s="1">
        <v>5</v>
      </c>
      <c r="K20">
        <f>J20/I20</f>
        <v>0.26315789473684209</v>
      </c>
      <c r="L20">
        <f>23/28</f>
        <v>0.8214285714285714</v>
      </c>
      <c r="M20" s="7">
        <v>12.149378889999999</v>
      </c>
      <c r="N20">
        <v>4.4672131147540988</v>
      </c>
      <c r="O20">
        <v>291</v>
      </c>
      <c r="P20">
        <f>N20*50</f>
        <v>223.36065573770495</v>
      </c>
      <c r="Q20">
        <f>P20/100</f>
        <v>2.2336065573770494</v>
      </c>
    </row>
    <row r="21" spans="1:17">
      <c r="A21" s="1" t="s">
        <v>124</v>
      </c>
      <c r="B21" s="1" t="s">
        <v>153</v>
      </c>
      <c r="C21" s="1" t="s">
        <v>190</v>
      </c>
      <c r="D21" s="1" t="s">
        <v>166</v>
      </c>
      <c r="E21" s="1">
        <v>3.8421375751495361</v>
      </c>
      <c r="F21" s="1">
        <v>0.68480032682418823</v>
      </c>
      <c r="G21" s="1">
        <v>5503.32470703125</v>
      </c>
      <c r="H21" s="1" t="s">
        <v>1</v>
      </c>
      <c r="I21" s="1">
        <v>13</v>
      </c>
      <c r="J21" s="1">
        <v>3</v>
      </c>
      <c r="K21">
        <f>J21/I21</f>
        <v>0.23076923076923078</v>
      </c>
      <c r="M21" s="7">
        <v>7.841097102</v>
      </c>
      <c r="N21">
        <v>3.2653061224489797</v>
      </c>
      <c r="O21">
        <v>427.5</v>
      </c>
      <c r="P21">
        <f>N21*50</f>
        <v>163.26530612244898</v>
      </c>
      <c r="Q21">
        <f>P21/100</f>
        <v>1.6326530612244898</v>
      </c>
    </row>
    <row r="22" spans="1:17">
      <c r="A22" s="1" t="s">
        <v>109</v>
      </c>
      <c r="B22" s="1" t="s">
        <v>153</v>
      </c>
      <c r="C22" s="1" t="s">
        <v>164</v>
      </c>
      <c r="D22" s="1" t="s">
        <v>166</v>
      </c>
      <c r="E22" s="1">
        <v>3.2452814280986786E-2</v>
      </c>
      <c r="F22" s="1">
        <v>3.1813480891287327E-3</v>
      </c>
      <c r="G22" s="1">
        <v>21.343940734863281</v>
      </c>
      <c r="H22" s="1">
        <v>6.0126276016235352</v>
      </c>
      <c r="I22" s="1">
        <v>12</v>
      </c>
      <c r="J22" s="1">
        <v>4</v>
      </c>
      <c r="K22">
        <f>J22/I22</f>
        <v>0.33333333333333331</v>
      </c>
      <c r="M22" s="7">
        <v>6.4009487180000005E-2</v>
      </c>
      <c r="N22">
        <v>1.2721893491124259</v>
      </c>
      <c r="O22">
        <v>537.5</v>
      </c>
      <c r="P22">
        <f>N22*50</f>
        <v>63.609467455621292</v>
      </c>
      <c r="Q22">
        <f>P22/100</f>
        <v>0.63609467455621294</v>
      </c>
    </row>
    <row r="23" spans="1:17">
      <c r="A23" s="1" t="s">
        <v>49</v>
      </c>
      <c r="B23" s="1" t="s">
        <v>153</v>
      </c>
      <c r="C23" s="1" t="s">
        <v>164</v>
      </c>
      <c r="D23" s="1" t="s">
        <v>161</v>
      </c>
      <c r="E23" s="1">
        <v>1.0606746189296246E-2</v>
      </c>
      <c r="F23" s="1">
        <v>1.3847695663571358E-2</v>
      </c>
      <c r="G23" s="1">
        <v>228.3712158203125</v>
      </c>
      <c r="H23" s="1">
        <v>293.79248046875</v>
      </c>
      <c r="I23" s="1">
        <v>10</v>
      </c>
      <c r="J23" s="1">
        <v>0</v>
      </c>
      <c r="K23">
        <f>J23/I23</f>
        <v>0</v>
      </c>
      <c r="M23" s="7">
        <v>2.1298694779999999E-2</v>
      </c>
      <c r="N23">
        <v>4.6184738955823298E-2</v>
      </c>
      <c r="P23">
        <f>N23*50</f>
        <v>2.309236947791165</v>
      </c>
      <c r="Q23">
        <f>P23/100</f>
        <v>2.3092369477911649E-2</v>
      </c>
    </row>
    <row r="24" spans="1:17">
      <c r="A24" s="1" t="s">
        <v>82</v>
      </c>
      <c r="B24" s="1" t="s">
        <v>153</v>
      </c>
      <c r="C24" s="1" t="s">
        <v>164</v>
      </c>
      <c r="D24" s="1" t="s">
        <v>166</v>
      </c>
      <c r="E24" s="1">
        <v>3.2865521498024464E-3</v>
      </c>
      <c r="F24" s="1">
        <v>6.1443352024070919E-5</v>
      </c>
      <c r="G24" s="1">
        <v>33.268142700195313</v>
      </c>
      <c r="H24" s="1">
        <v>30.572895050048828</v>
      </c>
      <c r="I24" s="1">
        <v>10</v>
      </c>
      <c r="J24" s="1">
        <v>2</v>
      </c>
      <c r="K24">
        <f>J24/I24</f>
        <v>0.2</v>
      </c>
      <c r="M24" s="7">
        <v>6.4695866140000004E-3</v>
      </c>
      <c r="N24">
        <v>1.033464566929134</v>
      </c>
      <c r="O24">
        <v>532</v>
      </c>
      <c r="P24">
        <f>N24*50</f>
        <v>51.673228346456703</v>
      </c>
      <c r="Q24">
        <f>P24/100</f>
        <v>0.51673228346456701</v>
      </c>
    </row>
    <row r="25" spans="1:17">
      <c r="A25" s="1" t="s">
        <v>37</v>
      </c>
      <c r="B25" s="1" t="s">
        <v>153</v>
      </c>
      <c r="C25" s="1" t="s">
        <v>159</v>
      </c>
      <c r="D25" s="1" t="s">
        <v>156</v>
      </c>
      <c r="E25" s="1">
        <v>0.97164249420166016</v>
      </c>
      <c r="F25" s="1" t="s">
        <v>1</v>
      </c>
      <c r="G25" s="1" t="s">
        <v>1</v>
      </c>
      <c r="H25" s="1" t="s">
        <v>1</v>
      </c>
      <c r="I25" s="1">
        <v>9</v>
      </c>
      <c r="J25" s="1">
        <v>3</v>
      </c>
      <c r="K25">
        <f>J25/I25</f>
        <v>0.33333333333333331</v>
      </c>
      <c r="M25" s="7">
        <v>1.935542809</v>
      </c>
      <c r="N25">
        <v>0.51394422310756971</v>
      </c>
      <c r="P25">
        <f>N25*50</f>
        <v>25.697211155378486</v>
      </c>
      <c r="Q25">
        <f>P25/100</f>
        <v>0.25697211155378485</v>
      </c>
    </row>
    <row r="26" spans="1:17">
      <c r="A26" s="1" t="s">
        <v>55</v>
      </c>
      <c r="B26" s="1" t="s">
        <v>153</v>
      </c>
      <c r="C26" s="1" t="s">
        <v>167</v>
      </c>
      <c r="D26" s="1" t="s">
        <v>168</v>
      </c>
      <c r="E26" s="1">
        <v>8.9112116256728768E-5</v>
      </c>
      <c r="F26" s="1">
        <v>1.0281834693159908E-4</v>
      </c>
      <c r="G26" s="1">
        <v>1.5072846412658691</v>
      </c>
      <c r="H26" s="1">
        <v>0.83499842882156372</v>
      </c>
      <c r="I26" s="1">
        <v>6</v>
      </c>
      <c r="J26" s="1">
        <v>4</v>
      </c>
      <c r="K26">
        <f>J26/I26</f>
        <v>0.66666666666666663</v>
      </c>
      <c r="M26" s="8">
        <v>1.7200000000000001E-4</v>
      </c>
      <c r="N26">
        <v>4.2940038684719531E-2</v>
      </c>
      <c r="P26">
        <f>N26*50</f>
        <v>2.1470019342359765</v>
      </c>
      <c r="Q26">
        <f>P26/100</f>
        <v>2.1470019342359765E-2</v>
      </c>
    </row>
    <row r="27" spans="1:17">
      <c r="A27" s="1" t="s">
        <v>145</v>
      </c>
      <c r="B27" s="1" t="s">
        <v>153</v>
      </c>
      <c r="C27" s="1" t="s">
        <v>164</v>
      </c>
      <c r="D27" s="1" t="s">
        <v>166</v>
      </c>
      <c r="E27" s="1">
        <v>1.3203613343648612E-4</v>
      </c>
      <c r="F27" s="1">
        <v>1.7777794710127637E-5</v>
      </c>
      <c r="G27" s="1">
        <v>10.407552719116211</v>
      </c>
      <c r="H27" s="1">
        <v>3.6337883472442627</v>
      </c>
      <c r="I27">
        <v>5</v>
      </c>
      <c r="J27" s="1">
        <v>3</v>
      </c>
      <c r="K27">
        <f>J27/I27</f>
        <v>0.6</v>
      </c>
      <c r="M27" s="7">
        <v>2.6198412700000003E-4</v>
      </c>
      <c r="N27">
        <v>0</v>
      </c>
      <c r="P27">
        <f>N27*50</f>
        <v>0</v>
      </c>
      <c r="Q27">
        <f>P27/100</f>
        <v>0</v>
      </c>
    </row>
    <row r="28" spans="1:17">
      <c r="A28" s="1" t="s">
        <v>53</v>
      </c>
      <c r="B28" s="1" t="s">
        <v>153</v>
      </c>
      <c r="C28" s="1" t="s">
        <v>167</v>
      </c>
      <c r="D28" s="1" t="s">
        <v>156</v>
      </c>
      <c r="E28" s="1">
        <v>3.2628304325044155E-5</v>
      </c>
      <c r="F28" s="1">
        <v>5.8712739701149985E-6</v>
      </c>
      <c r="G28" s="1">
        <v>2.748180627822876</v>
      </c>
      <c r="H28" s="1">
        <v>2.7187614440917969</v>
      </c>
      <c r="I28" s="1">
        <v>5</v>
      </c>
      <c r="J28" s="1">
        <v>5</v>
      </c>
      <c r="K28">
        <f>J28/I28</f>
        <v>1</v>
      </c>
      <c r="M28" s="8">
        <v>6.6500000000000004E-5</v>
      </c>
      <c r="N28">
        <v>3.8289205702647655E-2</v>
      </c>
      <c r="P28">
        <f>N28*50</f>
        <v>1.9144602851323826</v>
      </c>
      <c r="Q28">
        <f>P28/100</f>
        <v>1.9144602851323828E-2</v>
      </c>
    </row>
    <row r="29" spans="1:17">
      <c r="A29" s="1" t="s">
        <v>4</v>
      </c>
      <c r="B29" s="1" t="s">
        <v>153</v>
      </c>
      <c r="C29" s="1" t="s">
        <v>159</v>
      </c>
      <c r="D29" s="2" t="s">
        <v>161</v>
      </c>
      <c r="E29" s="1">
        <v>3.1747000321047381E-5</v>
      </c>
      <c r="F29" s="1">
        <v>4.38339811807964E-5</v>
      </c>
      <c r="G29" s="1">
        <v>5.2199511528015137</v>
      </c>
      <c r="H29" s="1" t="s">
        <v>1</v>
      </c>
      <c r="I29" s="1">
        <v>4</v>
      </c>
      <c r="J29" s="1">
        <v>3</v>
      </c>
      <c r="K29">
        <f>J29/I29</f>
        <v>0.75</v>
      </c>
      <c r="L29" s="1"/>
      <c r="M29" s="8">
        <v>6.02E-5</v>
      </c>
      <c r="N29">
        <v>7.020872865275142E-2</v>
      </c>
      <c r="P29">
        <f>N29*50</f>
        <v>3.510436432637571</v>
      </c>
      <c r="Q29">
        <f>P29/100</f>
        <v>3.510436432637571E-2</v>
      </c>
    </row>
    <row r="30" spans="1:17">
      <c r="A30" s="1" t="s">
        <v>6</v>
      </c>
      <c r="B30" s="1" t="s">
        <v>153</v>
      </c>
      <c r="C30" s="1" t="s">
        <v>159</v>
      </c>
      <c r="D30" s="2" t="s">
        <v>156</v>
      </c>
      <c r="E30" s="1">
        <v>2.7417700039222836E-4</v>
      </c>
      <c r="F30" s="1">
        <v>3.8313568802550435E-4</v>
      </c>
      <c r="G30" s="1">
        <v>6.3180642127990723</v>
      </c>
      <c r="H30" s="1">
        <v>6.5499730110168457</v>
      </c>
      <c r="I30" s="1">
        <v>3</v>
      </c>
      <c r="J30" s="1"/>
      <c r="M30" s="7">
        <v>5.2224761900000001E-4</v>
      </c>
      <c r="N30">
        <v>0</v>
      </c>
      <c r="P30">
        <f>N30*50</f>
        <v>0</v>
      </c>
      <c r="Q30">
        <f>P30/100</f>
        <v>0</v>
      </c>
    </row>
    <row r="31" spans="1:17">
      <c r="A31" s="1" t="s">
        <v>67</v>
      </c>
      <c r="B31" s="1" t="s">
        <v>153</v>
      </c>
      <c r="C31" s="1" t="s">
        <v>170</v>
      </c>
      <c r="D31" s="1" t="s">
        <v>156</v>
      </c>
      <c r="E31" s="1">
        <v>1.0783781763166189E-3</v>
      </c>
      <c r="F31" s="1">
        <v>7.0134990437509259E-7</v>
      </c>
      <c r="G31" s="1">
        <v>13.661895751953125</v>
      </c>
      <c r="H31" s="1">
        <v>3.2499489784240723</v>
      </c>
      <c r="I31" s="1">
        <v>2</v>
      </c>
      <c r="J31" s="1"/>
      <c r="M31" s="7">
        <v>2.1524550899999998E-3</v>
      </c>
      <c r="N31">
        <v>0.11377245508982035</v>
      </c>
      <c r="O31">
        <v>598</v>
      </c>
      <c r="P31">
        <f>N31*50</f>
        <v>5.6886227544910177</v>
      </c>
      <c r="Q31">
        <f>P31/100</f>
        <v>5.6886227544910177E-2</v>
      </c>
    </row>
    <row r="32" spans="1:17">
      <c r="A32" s="1" t="s">
        <v>27</v>
      </c>
      <c r="B32" s="1" t="s">
        <v>153</v>
      </c>
      <c r="C32" s="1" t="s">
        <v>164</v>
      </c>
      <c r="D32" s="1" t="s">
        <v>160</v>
      </c>
      <c r="E32" s="1">
        <v>2.1026567264925689E-4</v>
      </c>
      <c r="F32" s="1">
        <v>5.7875753554981202E-5</v>
      </c>
      <c r="G32" s="1">
        <v>7.1219778060913086</v>
      </c>
      <c r="H32" s="1">
        <v>5.8387746810913086</v>
      </c>
      <c r="I32" s="1">
        <v>2</v>
      </c>
      <c r="J32" s="1"/>
      <c r="M32" s="7">
        <v>4.0592664089999998E-4</v>
      </c>
      <c r="N32">
        <v>0.17606177606177606</v>
      </c>
      <c r="P32">
        <f>N32*50</f>
        <v>8.8030888030888033</v>
      </c>
      <c r="Q32">
        <f>P32/100</f>
        <v>8.803088803088803E-2</v>
      </c>
    </row>
    <row r="33" spans="1:17">
      <c r="A33" s="1" t="s">
        <v>8</v>
      </c>
      <c r="B33" s="1" t="s">
        <v>153</v>
      </c>
      <c r="C33" s="1" t="s">
        <v>158</v>
      </c>
      <c r="D33" s="2" t="s">
        <v>160</v>
      </c>
      <c r="E33" s="1">
        <v>7.2823631853680126E-6</v>
      </c>
      <c r="F33" s="1" t="s">
        <v>1</v>
      </c>
      <c r="G33" s="1">
        <v>0.83952087163925171</v>
      </c>
      <c r="H33" s="1" t="s">
        <v>1</v>
      </c>
      <c r="I33" s="1">
        <v>2</v>
      </c>
      <c r="J33" s="1"/>
      <c r="M33" s="8">
        <v>1.42E-5</v>
      </c>
      <c r="N33">
        <v>0.10293542074363993</v>
      </c>
      <c r="P33">
        <f>N33*50</f>
        <v>5.1467710371819964</v>
      </c>
      <c r="Q33">
        <f>P33/100</f>
        <v>5.1467710371819964E-2</v>
      </c>
    </row>
    <row r="34" spans="1:17">
      <c r="A34" s="1" t="s">
        <v>29</v>
      </c>
      <c r="B34" s="1" t="s">
        <v>153</v>
      </c>
      <c r="C34" s="1" t="s">
        <v>165</v>
      </c>
      <c r="D34" s="1" t="s">
        <v>156</v>
      </c>
      <c r="E34" s="1">
        <v>2.6876667106989771E-5</v>
      </c>
      <c r="F34" s="1" t="s">
        <v>1</v>
      </c>
      <c r="G34" s="1">
        <v>6.4143805503845215</v>
      </c>
      <c r="H34" s="1" t="s">
        <v>1</v>
      </c>
      <c r="I34" s="1">
        <v>1</v>
      </c>
      <c r="J34" s="1"/>
      <c r="M34" s="8">
        <v>5.2899999999999998E-5</v>
      </c>
      <c r="N34">
        <v>6.811023622047245E-2</v>
      </c>
      <c r="P34">
        <f>N34*50</f>
        <v>3.4055118110236227</v>
      </c>
      <c r="Q34">
        <f>P34/100</f>
        <v>3.4055118110236225E-2</v>
      </c>
    </row>
    <row r="35" spans="1:17">
      <c r="A35" s="1" t="s">
        <v>106</v>
      </c>
      <c r="B35" s="1" t="s">
        <v>153</v>
      </c>
      <c r="C35" s="1" t="s">
        <v>158</v>
      </c>
      <c r="D35" s="1" t="s">
        <v>166</v>
      </c>
      <c r="E35" s="1">
        <v>1.9322299340274185E-4</v>
      </c>
      <c r="F35" s="1" t="s">
        <v>1</v>
      </c>
      <c r="G35" s="1">
        <v>10.274127960205078</v>
      </c>
      <c r="H35" s="1" t="s">
        <v>1</v>
      </c>
      <c r="I35" s="1">
        <v>1</v>
      </c>
      <c r="J35" s="1"/>
      <c r="M35" s="7">
        <v>3.8185770749999998E-4</v>
      </c>
      <c r="N35">
        <v>0.36363636363636359</v>
      </c>
      <c r="O35">
        <v>738</v>
      </c>
      <c r="P35">
        <f>N35*50</f>
        <v>18.18181818181818</v>
      </c>
      <c r="Q35">
        <f>P35/100</f>
        <v>0.1818181818181818</v>
      </c>
    </row>
    <row r="36" spans="1:17">
      <c r="A36" s="1" t="s">
        <v>88</v>
      </c>
      <c r="B36" s="1" t="s">
        <v>153</v>
      </c>
      <c r="C36" s="1" t="s">
        <v>159</v>
      </c>
      <c r="D36" s="1" t="s">
        <v>161</v>
      </c>
      <c r="E36" s="1">
        <v>2.7223129291087389E-4</v>
      </c>
      <c r="F36" s="1">
        <v>7.085930701578036E-5</v>
      </c>
      <c r="G36" s="1">
        <v>6.5467739105224609</v>
      </c>
      <c r="H36" s="1">
        <v>5.6302118301391602</v>
      </c>
      <c r="I36" s="1">
        <v>1</v>
      </c>
      <c r="J36" s="1"/>
      <c r="M36" s="7">
        <v>5.455511022E-4</v>
      </c>
      <c r="N36">
        <v>7.7154308617234477E-2</v>
      </c>
      <c r="O36">
        <v>558</v>
      </c>
      <c r="P36">
        <f>N36*50</f>
        <v>3.8577154308617239</v>
      </c>
      <c r="Q36">
        <f>P36/100</f>
        <v>3.8577154308617238E-2</v>
      </c>
    </row>
    <row r="37" spans="1:17">
      <c r="A37" s="1" t="s">
        <v>97</v>
      </c>
      <c r="B37" s="1" t="s">
        <v>153</v>
      </c>
      <c r="C37" s="1" t="s">
        <v>164</v>
      </c>
      <c r="D37" s="1" t="s">
        <v>156</v>
      </c>
      <c r="E37" s="1">
        <v>8.197830175049603E-4</v>
      </c>
      <c r="F37" s="1">
        <v>1.0499174823053181E-4</v>
      </c>
      <c r="G37" s="1">
        <v>7.9741249084472656</v>
      </c>
      <c r="H37" s="1">
        <v>6.6506943702697754</v>
      </c>
      <c r="I37" s="1">
        <v>0</v>
      </c>
      <c r="J37" s="1">
        <v>0</v>
      </c>
      <c r="M37" s="7">
        <v>1.6297813119999999E-3</v>
      </c>
      <c r="N37">
        <v>1.0636182902584495</v>
      </c>
      <c r="O37">
        <v>939.5</v>
      </c>
      <c r="P37">
        <f>N37*50</f>
        <v>53.18091451292247</v>
      </c>
      <c r="Q37">
        <f>P37/100</f>
        <v>0.53180914512922473</v>
      </c>
    </row>
    <row r="38" spans="1:17">
      <c r="A38" s="1" t="s">
        <v>31</v>
      </c>
      <c r="B38" s="1" t="s">
        <v>153</v>
      </c>
      <c r="C38" s="1" t="s">
        <v>157</v>
      </c>
      <c r="D38" s="1" t="s">
        <v>166</v>
      </c>
      <c r="E38" s="1">
        <v>7.0006212808948476E-6</v>
      </c>
      <c r="F38" s="1" t="s">
        <v>1</v>
      </c>
      <c r="G38" s="1" t="s">
        <v>1</v>
      </c>
      <c r="H38" s="1" t="s">
        <v>1</v>
      </c>
      <c r="I38" s="1">
        <v>0</v>
      </c>
      <c r="J38" s="1"/>
      <c r="M38" s="8">
        <v>1.38E-5</v>
      </c>
      <c r="N38">
        <v>2.1259842519685042</v>
      </c>
      <c r="O38">
        <v>438</v>
      </c>
      <c r="P38">
        <f>N38*50</f>
        <v>106.29921259842521</v>
      </c>
      <c r="Q38">
        <f>P38/100</f>
        <v>1.0629921259842521</v>
      </c>
    </row>
    <row r="39" spans="1:17">
      <c r="A39" s="1" t="s">
        <v>59</v>
      </c>
      <c r="B39" s="1" t="s">
        <v>153</v>
      </c>
      <c r="C39" s="1" t="s">
        <v>157</v>
      </c>
      <c r="D39" s="1" t="s">
        <v>166</v>
      </c>
      <c r="E39" s="1">
        <v>2.5179432705044746E-3</v>
      </c>
      <c r="F39" s="1">
        <v>2.5651429314166307E-4</v>
      </c>
      <c r="G39" s="1">
        <v>13.898928642272949</v>
      </c>
      <c r="H39" s="1">
        <v>8.5211391448974609</v>
      </c>
      <c r="I39" s="1">
        <v>0</v>
      </c>
      <c r="J39" s="1"/>
      <c r="M39" s="7">
        <v>5.0459719440000004E-3</v>
      </c>
      <c r="N39">
        <v>0.13126252505010022</v>
      </c>
      <c r="O39">
        <v>720</v>
      </c>
      <c r="P39">
        <f>N39*50</f>
        <v>6.5631262525050111</v>
      </c>
      <c r="Q39">
        <f>P39/100</f>
        <v>6.563126252505011E-2</v>
      </c>
    </row>
    <row r="40" spans="1:17">
      <c r="A40" s="1" t="s">
        <v>115</v>
      </c>
      <c r="B40" s="1" t="s">
        <v>153</v>
      </c>
      <c r="C40" s="1" t="s">
        <v>157</v>
      </c>
      <c r="D40" s="1" t="s">
        <v>156</v>
      </c>
      <c r="E40" s="1">
        <v>5.1969457417726517E-2</v>
      </c>
      <c r="F40" s="1" t="s">
        <v>1</v>
      </c>
      <c r="G40" s="1" t="s">
        <v>1</v>
      </c>
      <c r="H40" s="1" t="s">
        <v>1</v>
      </c>
      <c r="I40" s="1">
        <v>0</v>
      </c>
      <c r="J40" s="1">
        <v>0</v>
      </c>
      <c r="M40" s="7">
        <v>0.1025038659</v>
      </c>
      <c r="N40">
        <v>1.7948717948717947</v>
      </c>
      <c r="P40">
        <f>N40*50</f>
        <v>89.743589743589737</v>
      </c>
      <c r="Q40">
        <f>P40/100</f>
        <v>0.89743589743589736</v>
      </c>
    </row>
    <row r="41" spans="1:17">
      <c r="A41" s="1" t="s">
        <v>118</v>
      </c>
      <c r="B41" s="1" t="s">
        <v>153</v>
      </c>
      <c r="C41" s="1" t="s">
        <v>157</v>
      </c>
      <c r="D41" s="1" t="s">
        <v>156</v>
      </c>
      <c r="E41" s="1">
        <v>2.6083164848387241E-3</v>
      </c>
      <c r="F41" s="1">
        <v>1.4773935254197568E-4</v>
      </c>
      <c r="G41" s="1">
        <v>180.92839050292969</v>
      </c>
      <c r="H41" s="1" t="s">
        <v>1</v>
      </c>
      <c r="I41" s="1">
        <v>0</v>
      </c>
      <c r="J41" s="1">
        <v>0</v>
      </c>
      <c r="M41" s="7">
        <v>5.2481287730000003E-3</v>
      </c>
      <c r="N41">
        <v>0.27967806841046278</v>
      </c>
      <c r="P41">
        <f>N41*50</f>
        <v>13.98390342052314</v>
      </c>
      <c r="Q41">
        <f>P41/100</f>
        <v>0.13983903420523139</v>
      </c>
    </row>
    <row r="42" spans="1:17">
      <c r="A42" s="1" t="s">
        <v>127</v>
      </c>
      <c r="B42" s="1" t="s">
        <v>153</v>
      </c>
      <c r="C42" s="1" t="s">
        <v>190</v>
      </c>
      <c r="D42" s="1" t="s">
        <v>166</v>
      </c>
      <c r="E42" s="1">
        <v>1.8950400352478027</v>
      </c>
      <c r="F42" s="1">
        <v>2.6793231964111328</v>
      </c>
      <c r="G42" s="1">
        <v>10233.7451171875</v>
      </c>
      <c r="H42" s="1" t="s">
        <v>1</v>
      </c>
      <c r="I42" s="1">
        <v>0</v>
      </c>
      <c r="J42" s="1">
        <v>0</v>
      </c>
      <c r="M42" s="7">
        <v>3.7900800800000001</v>
      </c>
      <c r="N42">
        <v>0</v>
      </c>
      <c r="O42">
        <v>1087</v>
      </c>
      <c r="P42">
        <f>N42*50</f>
        <v>0</v>
      </c>
      <c r="Q42">
        <f>P42/100</f>
        <v>0</v>
      </c>
    </row>
    <row r="43" spans="1:17">
      <c r="A43" s="1" t="s">
        <v>19</v>
      </c>
      <c r="B43" s="1" t="s">
        <v>153</v>
      </c>
      <c r="C43" s="1" t="s">
        <v>162</v>
      </c>
      <c r="D43" s="1" t="s">
        <v>161</v>
      </c>
      <c r="E43" s="1">
        <v>1.4538132745656185E-5</v>
      </c>
      <c r="F43" s="1">
        <v>1.3561083505919669E-5</v>
      </c>
      <c r="G43" s="1">
        <v>4.3656406402587891</v>
      </c>
      <c r="H43" s="1">
        <v>1.0077892541885376</v>
      </c>
      <c r="I43" s="1">
        <v>0</v>
      </c>
      <c r="M43" s="8">
        <v>2.9799999999999999E-5</v>
      </c>
      <c r="N43">
        <v>8.0737704918032796E-2</v>
      </c>
      <c r="O43">
        <v>538.5</v>
      </c>
      <c r="P43">
        <f>N43*50</f>
        <v>4.0368852459016402</v>
      </c>
      <c r="Q43">
        <f>P43/100</f>
        <v>4.0368852459016405E-2</v>
      </c>
    </row>
    <row r="44" spans="1:17">
      <c r="A44" s="1" t="s">
        <v>16</v>
      </c>
      <c r="B44" s="1" t="s">
        <v>153</v>
      </c>
      <c r="C44" s="1" t="s">
        <v>162</v>
      </c>
      <c r="D44" s="1" t="s">
        <v>156</v>
      </c>
      <c r="E44" s="1">
        <v>5.2690984375658445E-6</v>
      </c>
      <c r="F44" s="1">
        <v>1.7389822914992692E-6</v>
      </c>
      <c r="G44" s="1">
        <v>2.8517920970916748</v>
      </c>
      <c r="H44" s="1">
        <v>2.7435989379882813</v>
      </c>
      <c r="I44" s="1">
        <v>0</v>
      </c>
      <c r="M44" s="8">
        <v>1.1E-5</v>
      </c>
      <c r="N44">
        <v>2.5779625779625778E-2</v>
      </c>
      <c r="O44">
        <v>815</v>
      </c>
      <c r="P44">
        <f>N44*50</f>
        <v>1.2889812889812888</v>
      </c>
      <c r="Q44">
        <f>P44/100</f>
        <v>1.2889812889812889E-2</v>
      </c>
    </row>
    <row r="45" spans="1:17">
      <c r="A45" s="1" t="s">
        <v>91</v>
      </c>
      <c r="B45" s="1" t="s">
        <v>153</v>
      </c>
      <c r="C45" s="1" t="s">
        <v>162</v>
      </c>
      <c r="D45" s="1" t="s">
        <v>156</v>
      </c>
      <c r="E45" s="1">
        <v>6.6160527057945728E-4</v>
      </c>
      <c r="F45" s="1">
        <v>3.2464164542034268E-4</v>
      </c>
      <c r="G45" s="1">
        <v>18.323032379150391</v>
      </c>
      <c r="H45" s="1">
        <v>21.532318115234375</v>
      </c>
      <c r="I45" s="1">
        <v>0</v>
      </c>
      <c r="J45" s="1"/>
      <c r="M45" s="7">
        <v>1.2972745100000001E-3</v>
      </c>
      <c r="N45">
        <v>0.34117647058823525</v>
      </c>
      <c r="O45">
        <v>725.5</v>
      </c>
      <c r="P45">
        <f>N45*50</f>
        <v>17.058823529411761</v>
      </c>
      <c r="Q45">
        <f>P45/100</f>
        <v>0.1705882352941176</v>
      </c>
    </row>
    <row r="46" spans="1:17">
      <c r="A46" s="1" t="s">
        <v>94</v>
      </c>
      <c r="B46" s="1" t="s">
        <v>153</v>
      </c>
      <c r="C46" s="1" t="s">
        <v>162</v>
      </c>
      <c r="D46" s="1" t="s">
        <v>156</v>
      </c>
      <c r="E46" s="1">
        <v>1.3190634490456432E-4</v>
      </c>
      <c r="F46" s="1">
        <v>6.0521171690197662E-5</v>
      </c>
      <c r="G46" s="1">
        <v>4.2151713371276855</v>
      </c>
      <c r="H46" s="1" t="s">
        <v>1</v>
      </c>
      <c r="I46" s="1">
        <v>0</v>
      </c>
      <c r="J46" s="1"/>
      <c r="M46" s="7">
        <v>2.586470588E-4</v>
      </c>
      <c r="N46">
        <v>7.647058823529411E-2</v>
      </c>
      <c r="O46">
        <v>305</v>
      </c>
      <c r="P46">
        <f>N46*50</f>
        <v>3.8235294117647056</v>
      </c>
      <c r="Q46">
        <f>P46/100</f>
        <v>3.8235294117647055E-2</v>
      </c>
    </row>
    <row r="47" spans="1:17">
      <c r="A47" s="1" t="s">
        <v>57</v>
      </c>
      <c r="B47" s="1" t="s">
        <v>153</v>
      </c>
      <c r="C47" s="1" t="s">
        <v>165</v>
      </c>
      <c r="D47" s="1" t="s">
        <v>156</v>
      </c>
      <c r="E47" s="1">
        <v>9.9291035439819098E-5</v>
      </c>
      <c r="F47" s="1">
        <v>2.1368796296883374E-5</v>
      </c>
      <c r="G47" s="1">
        <v>1.771306037902832</v>
      </c>
      <c r="H47" s="1">
        <v>1.1838456392288208</v>
      </c>
      <c r="I47" s="1">
        <v>0</v>
      </c>
      <c r="J47" s="1"/>
      <c r="M47" s="8">
        <v>1.94E-4</v>
      </c>
      <c r="N47">
        <v>4.8140900195694711E-2</v>
      </c>
      <c r="P47">
        <f>N47*50</f>
        <v>2.4070450097847353</v>
      </c>
      <c r="Q47">
        <f>P47/100</f>
        <v>2.4070450097847352E-2</v>
      </c>
    </row>
    <row r="48" spans="1:17">
      <c r="A48" s="1" t="s">
        <v>130</v>
      </c>
      <c r="B48" s="1" t="s">
        <v>153</v>
      </c>
      <c r="C48" s="1" t="s">
        <v>165</v>
      </c>
      <c r="D48" s="1" t="s">
        <v>168</v>
      </c>
      <c r="E48" s="1">
        <v>1.4395785683518625E-6</v>
      </c>
      <c r="F48" s="1">
        <v>2.6317405854570097E-7</v>
      </c>
      <c r="G48" s="1" t="s">
        <v>1</v>
      </c>
      <c r="H48" s="1" t="s">
        <v>1</v>
      </c>
      <c r="I48" s="1">
        <v>0</v>
      </c>
      <c r="J48" s="1">
        <v>0</v>
      </c>
      <c r="M48" s="8">
        <v>2.83E-6</v>
      </c>
      <c r="N48">
        <v>0</v>
      </c>
      <c r="O48">
        <v>608</v>
      </c>
      <c r="P48">
        <f>N48*50</f>
        <v>0</v>
      </c>
      <c r="Q48">
        <f>P48/100</f>
        <v>0</v>
      </c>
    </row>
    <row r="49" spans="1:19">
      <c r="A49" s="1" t="s">
        <v>13</v>
      </c>
      <c r="B49" s="1" t="s">
        <v>153</v>
      </c>
      <c r="C49" s="1" t="s">
        <v>158</v>
      </c>
      <c r="D49" s="1" t="s">
        <v>161</v>
      </c>
      <c r="E49" s="1">
        <v>1.6644638890284114E-5</v>
      </c>
      <c r="F49" s="1">
        <v>1.7125325030065142E-5</v>
      </c>
      <c r="G49" s="1">
        <v>4.8691682815551758</v>
      </c>
      <c r="H49" s="1" t="s">
        <v>1</v>
      </c>
      <c r="I49" s="1">
        <v>0</v>
      </c>
      <c r="M49" s="8">
        <v>3.4900000000000001E-5</v>
      </c>
      <c r="N49">
        <v>0.31236897274633119</v>
      </c>
      <c r="O49">
        <v>741.5</v>
      </c>
      <c r="P49">
        <f>N49*50</f>
        <v>15.618448637316559</v>
      </c>
      <c r="Q49">
        <f>P49/100</f>
        <v>0.15618448637316559</v>
      </c>
    </row>
    <row r="50" spans="1:19">
      <c r="A50" s="1" t="s">
        <v>103</v>
      </c>
      <c r="B50" s="1" t="s">
        <v>153</v>
      </c>
      <c r="C50" s="1" t="s">
        <v>158</v>
      </c>
      <c r="D50" s="1" t="s">
        <v>166</v>
      </c>
      <c r="E50" s="1">
        <v>2.4736588238738477E-4</v>
      </c>
      <c r="F50" s="1">
        <v>2.1754534827778116E-5</v>
      </c>
      <c r="G50" s="1">
        <v>7.5799846649169922</v>
      </c>
      <c r="H50" s="1" t="s">
        <v>1</v>
      </c>
      <c r="I50" s="1">
        <v>0</v>
      </c>
      <c r="J50" s="1">
        <v>0</v>
      </c>
      <c r="M50" s="7">
        <v>4.9973737369999997E-4</v>
      </c>
      <c r="N50">
        <v>0</v>
      </c>
      <c r="O50">
        <v>621</v>
      </c>
      <c r="P50">
        <f>N50*50</f>
        <v>0</v>
      </c>
      <c r="Q50">
        <f>P50/100</f>
        <v>0</v>
      </c>
    </row>
    <row r="51" spans="1:19">
      <c r="A51" s="1" t="s">
        <v>10</v>
      </c>
      <c r="B51" s="1" t="s">
        <v>153</v>
      </c>
      <c r="C51" s="1" t="s">
        <v>158</v>
      </c>
      <c r="D51" s="1" t="s">
        <v>156</v>
      </c>
      <c r="E51" s="1" t="s">
        <v>1</v>
      </c>
      <c r="F51" s="1" t="s">
        <v>1</v>
      </c>
      <c r="G51" s="1" t="s">
        <v>1</v>
      </c>
      <c r="H51" s="1" t="s">
        <v>1</v>
      </c>
      <c r="I51">
        <v>0</v>
      </c>
      <c r="M51" s="7">
        <v>0</v>
      </c>
      <c r="N51">
        <v>4.4265593561368201E-2</v>
      </c>
      <c r="O51">
        <v>586.5</v>
      </c>
      <c r="P51">
        <f>N51*50</f>
        <v>2.2132796780684099</v>
      </c>
      <c r="Q51">
        <f>P51/100</f>
        <v>2.2132796780684097E-2</v>
      </c>
    </row>
    <row r="52" spans="1:19">
      <c r="A52" s="1" t="s">
        <v>133</v>
      </c>
      <c r="B52" s="1" t="s">
        <v>153</v>
      </c>
      <c r="C52" s="1" t="s">
        <v>158</v>
      </c>
      <c r="D52" s="1" t="s">
        <v>156</v>
      </c>
      <c r="E52" s="1" t="s">
        <v>1</v>
      </c>
      <c r="F52" s="1" t="s">
        <v>1</v>
      </c>
      <c r="G52" s="1" t="s">
        <v>1</v>
      </c>
      <c r="H52" s="1" t="s">
        <v>1</v>
      </c>
      <c r="I52" s="1">
        <v>0</v>
      </c>
      <c r="J52" s="1">
        <v>0</v>
      </c>
      <c r="M52" s="7">
        <v>0</v>
      </c>
      <c r="N52">
        <v>0</v>
      </c>
      <c r="O52">
        <v>682</v>
      </c>
      <c r="P52">
        <f>N52*50</f>
        <v>0</v>
      </c>
      <c r="Q52">
        <f>P52/100</f>
        <v>0</v>
      </c>
      <c r="S52">
        <f>AVERAGE(I50:I54)</f>
        <v>0</v>
      </c>
    </row>
    <row r="53" spans="1:19">
      <c r="A53" s="1" t="s">
        <v>121</v>
      </c>
      <c r="B53" s="1" t="s">
        <v>153</v>
      </c>
      <c r="C53" s="1" t="s">
        <v>159</v>
      </c>
      <c r="D53" s="1" t="s">
        <v>161</v>
      </c>
      <c r="E53" s="1">
        <v>1.2231664732098579E-4</v>
      </c>
      <c r="F53" s="1">
        <v>5.5479900765931234E-5</v>
      </c>
      <c r="G53" s="1">
        <v>2.7405595779418945</v>
      </c>
      <c r="H53" s="1" t="s">
        <v>1</v>
      </c>
      <c r="I53" s="1">
        <v>0</v>
      </c>
      <c r="J53" s="1">
        <v>0</v>
      </c>
      <c r="M53" s="7">
        <v>2.4761133600000002E-4</v>
      </c>
      <c r="N53">
        <v>0</v>
      </c>
      <c r="O53">
        <v>646</v>
      </c>
      <c r="P53">
        <f>N53*50</f>
        <v>0</v>
      </c>
      <c r="Q53">
        <f>P53/100</f>
        <v>0</v>
      </c>
    </row>
    <row r="54" spans="1:19">
      <c r="A54" s="1" t="s">
        <v>112</v>
      </c>
      <c r="B54" s="1" t="s">
        <v>153</v>
      </c>
      <c r="C54" s="1" t="s">
        <v>171</v>
      </c>
      <c r="D54" s="1" t="s">
        <v>156</v>
      </c>
      <c r="E54" s="1">
        <v>3.4670927561819553E-5</v>
      </c>
      <c r="F54" s="1" t="s">
        <v>1</v>
      </c>
      <c r="G54" s="1" t="s">
        <v>1</v>
      </c>
      <c r="H54" s="1" t="s">
        <v>1</v>
      </c>
      <c r="I54" s="1">
        <v>0</v>
      </c>
      <c r="J54" s="1">
        <v>0</v>
      </c>
      <c r="M54" s="8">
        <v>6.9999999999999994E-5</v>
      </c>
      <c r="P54">
        <f>N54*50</f>
        <v>0</v>
      </c>
      <c r="Q54">
        <f>P54/100</f>
        <v>0</v>
      </c>
    </row>
    <row r="55" spans="1:19">
      <c r="A55" s="1" t="s">
        <v>100</v>
      </c>
      <c r="B55" s="1" t="s">
        <v>153</v>
      </c>
      <c r="C55" s="1" t="s">
        <v>171</v>
      </c>
      <c r="D55" s="1" t="s">
        <v>168</v>
      </c>
      <c r="E55" s="1">
        <v>2.5804000324569643E-4</v>
      </c>
      <c r="F55" s="1">
        <v>1.8160113540943712E-4</v>
      </c>
      <c r="G55" s="1">
        <v>18.808984756469727</v>
      </c>
      <c r="H55" s="1" t="s">
        <v>1</v>
      </c>
      <c r="I55" s="1">
        <v>0</v>
      </c>
      <c r="J55" s="1">
        <v>0</v>
      </c>
      <c r="M55" s="7">
        <v>5.1815261039999999E-4</v>
      </c>
      <c r="N55" s="9">
        <v>0.14658634538152612</v>
      </c>
      <c r="O55">
        <v>744.5</v>
      </c>
      <c r="P55">
        <f>N55*50</f>
        <v>7.3293172690763058</v>
      </c>
      <c r="Q55">
        <f>P55/100</f>
        <v>7.3293172690763062E-2</v>
      </c>
    </row>
    <row r="56" spans="1:19">
      <c r="A56" s="1" t="s">
        <v>143</v>
      </c>
      <c r="B56" s="1" t="s">
        <v>155</v>
      </c>
      <c r="C56" s="1" t="s">
        <v>190</v>
      </c>
      <c r="D56" s="1" t="s">
        <v>166</v>
      </c>
      <c r="E56" s="1">
        <v>173.560546875</v>
      </c>
      <c r="F56" s="1">
        <v>35.535839080810547</v>
      </c>
      <c r="G56" s="1">
        <v>1.7159445285797119</v>
      </c>
      <c r="H56" s="1">
        <v>8.2864329218864441E-2</v>
      </c>
      <c r="I56" s="1">
        <v>27</v>
      </c>
      <c r="J56" s="1">
        <v>0</v>
      </c>
      <c r="K56">
        <f>J56/I56</f>
        <v>0</v>
      </c>
      <c r="L56" s="1">
        <v>1</v>
      </c>
      <c r="M56" s="7">
        <v>68.84591313</v>
      </c>
      <c r="N56">
        <v>62.673542245140816</v>
      </c>
      <c r="P56">
        <f>N56*250</f>
        <v>15668.385561285204</v>
      </c>
      <c r="Q56">
        <f>P56/100</f>
        <v>156.68385561285203</v>
      </c>
    </row>
    <row r="57" spans="1:19">
      <c r="A57" s="1" t="s">
        <v>40</v>
      </c>
      <c r="B57" s="1" t="s">
        <v>155</v>
      </c>
      <c r="C57" s="1" t="s">
        <v>162</v>
      </c>
      <c r="D57" s="1" t="s">
        <v>160</v>
      </c>
      <c r="E57" s="1">
        <v>3.6168225109577179E-2</v>
      </c>
      <c r="F57" s="1">
        <v>8.4508517757058144E-3</v>
      </c>
      <c r="G57" s="1">
        <v>9.8821506500244141</v>
      </c>
      <c r="H57" s="1">
        <v>1.8169667720794678</v>
      </c>
      <c r="I57" s="1">
        <v>27</v>
      </c>
      <c r="J57" s="1">
        <v>0</v>
      </c>
      <c r="K57">
        <f>J57/I57</f>
        <v>0</v>
      </c>
      <c r="L57" s="1">
        <v>1</v>
      </c>
      <c r="M57" s="7">
        <v>1.418361961E-2</v>
      </c>
      <c r="N57">
        <v>0.14039215686274512</v>
      </c>
      <c r="P57">
        <f>N57*250</f>
        <v>35.098039215686278</v>
      </c>
      <c r="Q57">
        <f>P57/100</f>
        <v>0.35098039215686277</v>
      </c>
    </row>
    <row r="58" spans="1:19">
      <c r="A58" s="1" t="s">
        <v>140</v>
      </c>
      <c r="B58" s="1" t="s">
        <v>155</v>
      </c>
      <c r="C58" s="1" t="s">
        <v>159</v>
      </c>
      <c r="D58" s="1" t="s">
        <v>166</v>
      </c>
      <c r="E58" s="1">
        <v>45.615184783935547</v>
      </c>
      <c r="F58" s="1">
        <v>10.403563499450684</v>
      </c>
      <c r="G58" s="1">
        <v>2.513904333114624</v>
      </c>
      <c r="H58" s="1">
        <v>0.27061346173286438</v>
      </c>
      <c r="I58" s="1">
        <v>26</v>
      </c>
      <c r="J58" s="1">
        <v>0</v>
      </c>
      <c r="K58">
        <f>J58/I58</f>
        <v>0</v>
      </c>
      <c r="L58" s="1">
        <v>1</v>
      </c>
      <c r="M58" s="7">
        <v>18.12283862</v>
      </c>
      <c r="N58">
        <v>10.965435041716329</v>
      </c>
      <c r="P58">
        <f>N58*250</f>
        <v>2741.3587604290824</v>
      </c>
      <c r="Q58">
        <f>P58/100</f>
        <v>27.413587604290825</v>
      </c>
    </row>
    <row r="59" spans="1:19">
      <c r="A59" s="1" t="s">
        <v>48</v>
      </c>
      <c r="B59" s="1" t="s">
        <v>155</v>
      </c>
      <c r="C59" s="1" t="s">
        <v>164</v>
      </c>
      <c r="D59" s="1" t="s">
        <v>161</v>
      </c>
      <c r="E59" s="1">
        <v>6.6338200122117996E-3</v>
      </c>
      <c r="F59" s="1">
        <v>7.8783952631056309E-4</v>
      </c>
      <c r="G59" s="1">
        <v>3.7761592864990234</v>
      </c>
      <c r="H59" s="1">
        <v>0.13054345548152924</v>
      </c>
      <c r="I59" s="1">
        <v>25</v>
      </c>
      <c r="J59" s="1">
        <v>3</v>
      </c>
      <c r="K59">
        <f>J59/I59</f>
        <v>0.12</v>
      </c>
      <c r="L59">
        <f>37/40</f>
        <v>0.92500000000000004</v>
      </c>
      <c r="M59" s="7">
        <v>2.6631152150000002E-3</v>
      </c>
      <c r="N59">
        <v>7.5070252910477725E-2</v>
      </c>
      <c r="P59">
        <f>N59*250</f>
        <v>18.76756322761943</v>
      </c>
      <c r="Q59">
        <f>P59/100</f>
        <v>0.1876756322761943</v>
      </c>
    </row>
    <row r="60" spans="1:19">
      <c r="A60" s="1" t="s">
        <v>23</v>
      </c>
      <c r="B60" s="1" t="s">
        <v>155</v>
      </c>
      <c r="C60" s="1" t="s">
        <v>190</v>
      </c>
      <c r="D60" s="1" t="s">
        <v>161</v>
      </c>
      <c r="E60" s="1">
        <v>1.0162575244903564</v>
      </c>
      <c r="F60" s="1">
        <v>7.0962227880954742E-2</v>
      </c>
      <c r="G60" s="1">
        <v>13.942226409912109</v>
      </c>
      <c r="H60" s="1">
        <v>2.6255269050598145</v>
      </c>
      <c r="I60" s="1">
        <v>25</v>
      </c>
      <c r="J60" s="1">
        <v>1</v>
      </c>
      <c r="K60">
        <f>J60/I60</f>
        <v>0.04</v>
      </c>
      <c r="L60">
        <f>44/45</f>
        <v>0.97777777777777775</v>
      </c>
      <c r="M60" s="7">
        <v>0.39697559380000003</v>
      </c>
      <c r="N60">
        <v>0.47265625</v>
      </c>
      <c r="O60">
        <v>276</v>
      </c>
      <c r="P60">
        <f>N60*250</f>
        <v>118.1640625</v>
      </c>
      <c r="Q60">
        <f>P60/100</f>
        <v>1.181640625</v>
      </c>
    </row>
    <row r="61" spans="1:19">
      <c r="A61" s="1" t="s">
        <v>35</v>
      </c>
      <c r="B61" s="1" t="s">
        <v>155</v>
      </c>
      <c r="C61" s="1" t="s">
        <v>159</v>
      </c>
      <c r="D61" s="1" t="s">
        <v>160</v>
      </c>
      <c r="E61" s="1">
        <v>9.5166545361280441E-3</v>
      </c>
      <c r="F61" s="1">
        <v>1.2215401511639357E-3</v>
      </c>
      <c r="G61" s="1">
        <v>3.1167488098144531</v>
      </c>
      <c r="H61" s="1">
        <v>1.0307438373565674</v>
      </c>
      <c r="I61" s="1">
        <v>25</v>
      </c>
      <c r="J61" s="1">
        <v>2</v>
      </c>
      <c r="K61">
        <f>J61/I61</f>
        <v>0.08</v>
      </c>
      <c r="L61">
        <f>39/41</f>
        <v>0.95121951219512191</v>
      </c>
      <c r="M61" s="7">
        <v>3.8435581580000002E-3</v>
      </c>
      <c r="N61">
        <v>0.16478190630048464</v>
      </c>
      <c r="O61">
        <v>764.5</v>
      </c>
      <c r="P61">
        <f>N61*250</f>
        <v>41.195476575121162</v>
      </c>
      <c r="Q61">
        <f>P61/100</f>
        <v>0.41195476575121165</v>
      </c>
    </row>
    <row r="62" spans="1:19">
      <c r="A62" s="1" t="s">
        <v>80</v>
      </c>
      <c r="B62" s="1" t="s">
        <v>155</v>
      </c>
      <c r="C62" s="1" t="s">
        <v>190</v>
      </c>
      <c r="D62" s="1" t="s">
        <v>166</v>
      </c>
      <c r="E62" s="1">
        <v>2.8013017028570175E-2</v>
      </c>
      <c r="F62" s="1">
        <v>3.0741383670829237E-4</v>
      </c>
      <c r="G62" s="1">
        <v>6.0528321266174316</v>
      </c>
      <c r="H62" s="1">
        <v>0.75823801755905151</v>
      </c>
      <c r="I62" s="1">
        <v>24</v>
      </c>
      <c r="J62" s="1">
        <v>3</v>
      </c>
      <c r="K62">
        <f>J62/I62</f>
        <v>0.125</v>
      </c>
      <c r="L62">
        <f>32/36</f>
        <v>0.88888888888888884</v>
      </c>
      <c r="M62" s="7">
        <v>1.108109968E-2</v>
      </c>
      <c r="N62">
        <v>0.53484602917341972</v>
      </c>
      <c r="O62">
        <v>598</v>
      </c>
      <c r="P62">
        <f>N62*250</f>
        <v>133.71150729335494</v>
      </c>
      <c r="Q62">
        <f>P62/100</f>
        <v>1.3371150729335495</v>
      </c>
    </row>
    <row r="63" spans="1:19">
      <c r="A63" s="1" t="s">
        <v>74</v>
      </c>
      <c r="B63" s="1" t="s">
        <v>155</v>
      </c>
      <c r="C63" s="1" t="s">
        <v>159</v>
      </c>
      <c r="D63" s="1" t="s">
        <v>156</v>
      </c>
      <c r="E63" s="1">
        <v>2.3304764181375504E-2</v>
      </c>
      <c r="F63" s="1">
        <v>6.9427080452442169E-3</v>
      </c>
      <c r="G63" s="1">
        <v>3.9313697814941406</v>
      </c>
      <c r="H63" s="1">
        <v>0.13902170956134796</v>
      </c>
      <c r="I63" s="1">
        <v>23</v>
      </c>
      <c r="J63" s="1">
        <v>1</v>
      </c>
      <c r="K63">
        <f>J63/I63</f>
        <v>4.3478260869565216E-2</v>
      </c>
      <c r="L63">
        <f>32/35</f>
        <v>0.91428571428571426</v>
      </c>
      <c r="M63" s="7">
        <v>9.3256342539999992E-3</v>
      </c>
      <c r="N63">
        <v>9.6838735494197678E-2</v>
      </c>
      <c r="O63">
        <v>451.5</v>
      </c>
      <c r="P63">
        <f>N63*250</f>
        <v>24.20968387354942</v>
      </c>
      <c r="Q63">
        <f>P63/100</f>
        <v>0.2420968387354942</v>
      </c>
    </row>
    <row r="64" spans="1:19">
      <c r="A64" s="1" t="s">
        <v>26</v>
      </c>
      <c r="B64" s="1" t="s">
        <v>155</v>
      </c>
      <c r="C64" s="1" t="s">
        <v>163</v>
      </c>
      <c r="D64" s="1" t="s">
        <v>161</v>
      </c>
      <c r="E64" s="1">
        <v>43.030597686767578</v>
      </c>
      <c r="F64" s="1">
        <v>0.21428671479225159</v>
      </c>
      <c r="G64" s="1">
        <v>1.8251285552978516</v>
      </c>
      <c r="H64" s="1">
        <v>4.6041384339332581E-2</v>
      </c>
      <c r="I64" s="1">
        <v>23</v>
      </c>
      <c r="J64" s="1">
        <v>3</v>
      </c>
      <c r="K64">
        <f>J64/I64</f>
        <v>0.13043478260869565</v>
      </c>
      <c r="L64">
        <f>36/39</f>
        <v>0.92307692307692313</v>
      </c>
      <c r="M64" s="7">
        <v>17.35104746</v>
      </c>
      <c r="N64">
        <v>0.21693548387096775</v>
      </c>
      <c r="P64">
        <f>N64*250</f>
        <v>54.233870967741936</v>
      </c>
      <c r="Q64">
        <f>P64/100</f>
        <v>0.54233870967741937</v>
      </c>
    </row>
    <row r="65" spans="1:17">
      <c r="A65" s="1" t="s">
        <v>86</v>
      </c>
      <c r="B65" s="1" t="s">
        <v>155</v>
      </c>
      <c r="C65" s="1" t="s">
        <v>159</v>
      </c>
      <c r="D65" s="1" t="s">
        <v>160</v>
      </c>
      <c r="E65" s="1">
        <v>20.76153564453125</v>
      </c>
      <c r="F65" s="1">
        <v>1.1028326749801636</v>
      </c>
      <c r="G65" s="1">
        <v>17.585506439208984</v>
      </c>
      <c r="H65" s="1">
        <v>4.1467695236206055</v>
      </c>
      <c r="I65" s="1">
        <v>22</v>
      </c>
      <c r="J65" s="1">
        <v>1</v>
      </c>
      <c r="K65">
        <f>J65/I65</f>
        <v>4.5454545454545456E-2</v>
      </c>
      <c r="L65" s="1">
        <v>1</v>
      </c>
      <c r="M65" s="7">
        <v>8.4225296549999999</v>
      </c>
      <c r="N65">
        <v>9.2494929006085194</v>
      </c>
      <c r="P65">
        <f>N65*250</f>
        <v>2312.3732251521296</v>
      </c>
      <c r="Q65">
        <f>P65/100</f>
        <v>23.123732251521297</v>
      </c>
    </row>
    <row r="66" spans="1:17">
      <c r="A66" s="1" t="s">
        <v>77</v>
      </c>
      <c r="B66" s="1" t="s">
        <v>155</v>
      </c>
      <c r="C66" s="1" t="s">
        <v>163</v>
      </c>
      <c r="D66" s="1" t="s">
        <v>166</v>
      </c>
      <c r="E66" s="1">
        <v>2.679157629609108E-2</v>
      </c>
      <c r="F66" s="1">
        <v>1.5043000166770071E-4</v>
      </c>
      <c r="G66" s="1">
        <v>4.5717344284057617</v>
      </c>
      <c r="H66" s="1">
        <v>0.25704148411750793</v>
      </c>
      <c r="I66" s="1">
        <v>22</v>
      </c>
      <c r="J66" s="1">
        <v>2</v>
      </c>
      <c r="K66">
        <f>J66/I66</f>
        <v>9.0909090909090912E-2</v>
      </c>
      <c r="L66">
        <f>32/34</f>
        <v>0.94117647058823528</v>
      </c>
      <c r="M66" s="7">
        <v>1.0855583469999999E-2</v>
      </c>
      <c r="N66">
        <v>0.10575364667747164</v>
      </c>
      <c r="O66">
        <v>572.5</v>
      </c>
      <c r="P66">
        <f>N66*250</f>
        <v>26.438411669367909</v>
      </c>
      <c r="Q66">
        <f>P66/100</f>
        <v>0.26438411669367912</v>
      </c>
    </row>
    <row r="67" spans="1:17">
      <c r="A67" s="1" t="s">
        <v>63</v>
      </c>
      <c r="B67" s="1" t="s">
        <v>155</v>
      </c>
      <c r="C67" s="1" t="s">
        <v>158</v>
      </c>
      <c r="D67" s="1" t="s">
        <v>166</v>
      </c>
      <c r="E67" s="1">
        <v>0.13225351274013519</v>
      </c>
      <c r="F67" s="1">
        <v>2.5081321597099304E-2</v>
      </c>
      <c r="G67" s="1">
        <v>8.0743265151977539</v>
      </c>
      <c r="H67" s="1">
        <v>0.84203505516052246</v>
      </c>
      <c r="I67" s="1">
        <v>21</v>
      </c>
      <c r="J67" s="1">
        <v>1</v>
      </c>
      <c r="K67">
        <f>J67/I67</f>
        <v>4.7619047619047616E-2</v>
      </c>
      <c r="L67">
        <f>31/33</f>
        <v>0.93939393939393945</v>
      </c>
      <c r="M67" s="7">
        <v>5.3609043369999998E-2</v>
      </c>
      <c r="N67">
        <v>0.26753141467369274</v>
      </c>
      <c r="O67">
        <v>306</v>
      </c>
      <c r="P67">
        <f>N67*250</f>
        <v>66.882853668423181</v>
      </c>
      <c r="Q67">
        <f>P67/100</f>
        <v>0.66882853668423181</v>
      </c>
    </row>
    <row r="68" spans="1:17">
      <c r="A68" s="1" t="s">
        <v>28</v>
      </c>
      <c r="B68" s="1" t="s">
        <v>155</v>
      </c>
      <c r="C68" s="1" t="s">
        <v>164</v>
      </c>
      <c r="D68" s="1" t="s">
        <v>160</v>
      </c>
      <c r="E68" s="1">
        <v>3.9552636444568634E-3</v>
      </c>
      <c r="F68" s="1">
        <v>8.7155256187543273E-4</v>
      </c>
      <c r="G68" s="1">
        <v>1.9475129842758179</v>
      </c>
      <c r="H68" s="1">
        <v>2.0359626039862633E-2</v>
      </c>
      <c r="I68" s="1">
        <v>19</v>
      </c>
      <c r="J68" s="1">
        <v>2</v>
      </c>
      <c r="K68">
        <f>J68/I68</f>
        <v>0.10526315789473684</v>
      </c>
      <c r="L68">
        <f>31/33</f>
        <v>0.93939393939393945</v>
      </c>
      <c r="M68" s="7">
        <v>1.601319838E-3</v>
      </c>
      <c r="N68">
        <v>0.99595141700404866</v>
      </c>
      <c r="P68">
        <f>N68*250</f>
        <v>248.98785425101215</v>
      </c>
      <c r="Q68">
        <f>P68/100</f>
        <v>2.4898785425101213</v>
      </c>
    </row>
    <row r="69" spans="1:17">
      <c r="A69" s="1" t="s">
        <v>125</v>
      </c>
      <c r="B69" s="1" t="s">
        <v>155</v>
      </c>
      <c r="C69" s="1" t="s">
        <v>190</v>
      </c>
      <c r="D69" s="1" t="s">
        <v>166</v>
      </c>
      <c r="E69" s="1">
        <v>0.83801734447479248</v>
      </c>
      <c r="F69" s="1">
        <v>0.16982410848140717</v>
      </c>
      <c r="G69" s="1">
        <v>1521.96826171875</v>
      </c>
      <c r="H69" s="1">
        <v>1344.8787841796875</v>
      </c>
      <c r="I69" s="1">
        <v>18</v>
      </c>
      <c r="J69" s="1">
        <v>0</v>
      </c>
      <c r="K69">
        <f>J69/I69</f>
        <v>0</v>
      </c>
      <c r="L69" s="1">
        <v>1</v>
      </c>
      <c r="M69" s="7">
        <v>0.33628304170000001</v>
      </c>
      <c r="N69">
        <v>0.72231139646869991</v>
      </c>
      <c r="O69">
        <v>540</v>
      </c>
      <c r="P69">
        <f>N69*250</f>
        <v>180.57784911717496</v>
      </c>
      <c r="Q69">
        <f>P69/100</f>
        <v>1.8057784911717496</v>
      </c>
    </row>
    <row r="70" spans="1:17">
      <c r="A70" s="1" t="s">
        <v>32</v>
      </c>
      <c r="B70" s="1" t="s">
        <v>155</v>
      </c>
      <c r="C70" s="1" t="s">
        <v>157</v>
      </c>
      <c r="D70" s="1" t="s">
        <v>166</v>
      </c>
      <c r="E70" s="1">
        <v>3.6746492696693167E-5</v>
      </c>
      <c r="F70" s="1">
        <v>9.6294033937738277E-6</v>
      </c>
      <c r="G70" s="1" t="s">
        <v>1</v>
      </c>
      <c r="H70" s="1" t="s">
        <v>1</v>
      </c>
      <c r="I70" s="1">
        <v>17</v>
      </c>
      <c r="J70" s="1">
        <v>2</v>
      </c>
      <c r="K70">
        <f>J70/I70</f>
        <v>0.11764705882352941</v>
      </c>
      <c r="L70">
        <f>26/28</f>
        <v>0.9285714285714286</v>
      </c>
      <c r="M70" s="8">
        <v>1.4800000000000001E-5</v>
      </c>
      <c r="N70">
        <v>0.11731619124146243</v>
      </c>
      <c r="P70">
        <f>N70*250</f>
        <v>29.329047810365608</v>
      </c>
      <c r="Q70">
        <f>P70/100</f>
        <v>0.2932904781036561</v>
      </c>
    </row>
    <row r="71" spans="1:17">
      <c r="A71" s="1" t="s">
        <v>137</v>
      </c>
      <c r="B71" s="1" t="s">
        <v>155</v>
      </c>
      <c r="C71" s="1" t="s">
        <v>158</v>
      </c>
      <c r="D71" s="1" t="s">
        <v>156</v>
      </c>
      <c r="E71" s="1">
        <v>8.4448009729385376E-3</v>
      </c>
      <c r="F71" s="1">
        <v>1.8010744825005531E-3</v>
      </c>
      <c r="G71" s="1">
        <v>4.5763463973999023</v>
      </c>
      <c r="H71" s="1">
        <v>1.3883552551269531</v>
      </c>
      <c r="I71" s="1">
        <v>17</v>
      </c>
      <c r="J71" s="1">
        <v>2</v>
      </c>
      <c r="K71">
        <f>J71/I71</f>
        <v>0.11764705882352941</v>
      </c>
      <c r="L71">
        <f>28/29</f>
        <v>0.96551724137931039</v>
      </c>
      <c r="M71" s="7">
        <v>3.3887640450000001E-3</v>
      </c>
      <c r="N71">
        <v>0.30296950240770465</v>
      </c>
      <c r="P71">
        <f>N71*250</f>
        <v>75.742375601926156</v>
      </c>
      <c r="Q71">
        <f>P71/100</f>
        <v>0.7574237560192616</v>
      </c>
    </row>
    <row r="72" spans="1:17">
      <c r="A72" s="1" t="s">
        <v>71</v>
      </c>
      <c r="B72" s="1" t="s">
        <v>155</v>
      </c>
      <c r="C72" s="1" t="s">
        <v>159</v>
      </c>
      <c r="D72" s="1" t="s">
        <v>166</v>
      </c>
      <c r="E72" s="1">
        <v>7.5286521911621094</v>
      </c>
      <c r="F72" s="1">
        <v>4.8499897122383118E-2</v>
      </c>
      <c r="G72" s="1">
        <v>5.9921121597290039</v>
      </c>
      <c r="H72" s="1">
        <v>0.23307578265666962</v>
      </c>
      <c r="I72" s="1">
        <v>16</v>
      </c>
      <c r="J72" s="1">
        <v>0</v>
      </c>
      <c r="K72">
        <f>J72/I72</f>
        <v>0</v>
      </c>
      <c r="L72" s="1">
        <v>1</v>
      </c>
      <c r="M72" s="7">
        <v>3.048037324</v>
      </c>
      <c r="N72">
        <v>11.943319838056681</v>
      </c>
      <c r="O72">
        <v>313</v>
      </c>
      <c r="P72">
        <f>N72*250</f>
        <v>2985.8299595141702</v>
      </c>
      <c r="Q72">
        <f>P72/100</f>
        <v>29.858299595141702</v>
      </c>
    </row>
    <row r="73" spans="1:17">
      <c r="A73" s="1" t="s">
        <v>50</v>
      </c>
      <c r="B73" s="1" t="s">
        <v>155</v>
      </c>
      <c r="C73" s="1" t="s">
        <v>164</v>
      </c>
      <c r="D73" s="1" t="s">
        <v>161</v>
      </c>
      <c r="E73" s="1">
        <v>3.1357750413008034E-4</v>
      </c>
      <c r="F73" s="1">
        <v>3.4494562441977905E-6</v>
      </c>
      <c r="G73" s="1">
        <v>6.8228082656860352</v>
      </c>
      <c r="H73" s="1">
        <v>1.3901098966598511</v>
      </c>
      <c r="I73" s="1">
        <v>15</v>
      </c>
      <c r="J73" s="1">
        <v>4</v>
      </c>
      <c r="K73">
        <f>J73/I73</f>
        <v>0.26666666666666666</v>
      </c>
      <c r="M73" s="7">
        <v>1.2478312769999999E-4</v>
      </c>
      <c r="N73">
        <v>0.11380819737365698</v>
      </c>
      <c r="P73">
        <f>N73*250</f>
        <v>28.452049343414245</v>
      </c>
      <c r="Q73">
        <f>P73/100</f>
        <v>0.28452049343414243</v>
      </c>
    </row>
    <row r="74" spans="1:17">
      <c r="A74" s="1" t="s">
        <v>110</v>
      </c>
      <c r="B74" s="1" t="s">
        <v>155</v>
      </c>
      <c r="C74" s="1" t="s">
        <v>164</v>
      </c>
      <c r="D74" s="1" t="s">
        <v>166</v>
      </c>
      <c r="E74" s="1">
        <v>1.2760612182319164E-2</v>
      </c>
      <c r="F74" s="1">
        <v>1.1042491532862186E-2</v>
      </c>
      <c r="G74" s="1">
        <v>14.627065658569336</v>
      </c>
      <c r="H74" s="1">
        <v>10.216099739074707</v>
      </c>
      <c r="I74" s="1">
        <v>13</v>
      </c>
      <c r="J74" s="1">
        <v>2</v>
      </c>
      <c r="K74">
        <f>J74/I74</f>
        <v>0.15384615384615385</v>
      </c>
      <c r="L74">
        <f>17/19</f>
        <v>0.89473684210526316</v>
      </c>
      <c r="M74" s="7">
        <v>5.174618816E-3</v>
      </c>
      <c r="N74">
        <v>0.39740470397404704</v>
      </c>
      <c r="O74">
        <v>386.5</v>
      </c>
      <c r="P74">
        <f>N74*250</f>
        <v>99.35117599351176</v>
      </c>
      <c r="Q74">
        <f>P74/100</f>
        <v>0.99351175993511764</v>
      </c>
    </row>
    <row r="75" spans="1:17">
      <c r="A75" s="1" t="s">
        <v>38</v>
      </c>
      <c r="B75" s="1" t="s">
        <v>155</v>
      </c>
      <c r="C75" s="1" t="s">
        <v>159</v>
      </c>
      <c r="D75" s="1" t="s">
        <v>156</v>
      </c>
      <c r="E75" s="1">
        <v>0.29409614205360413</v>
      </c>
      <c r="F75" s="1">
        <v>0.37260463833808899</v>
      </c>
      <c r="G75" s="1">
        <v>3453.780517578125</v>
      </c>
      <c r="H75" s="1">
        <v>4094.13525390625</v>
      </c>
      <c r="I75" s="1">
        <v>13</v>
      </c>
      <c r="J75" s="1">
        <v>3</v>
      </c>
      <c r="K75">
        <f>J75/I75</f>
        <v>0.23076923076923078</v>
      </c>
      <c r="M75" s="7">
        <v>0.1154676639</v>
      </c>
      <c r="N75">
        <v>8.8731841382018062E-2</v>
      </c>
      <c r="P75">
        <f>N75*250</f>
        <v>22.182960345504515</v>
      </c>
      <c r="Q75">
        <f>P75/100</f>
        <v>0.22182960345504515</v>
      </c>
    </row>
    <row r="76" spans="1:17">
      <c r="A76" s="1" t="s">
        <v>52</v>
      </c>
      <c r="B76" s="1" t="s">
        <v>155</v>
      </c>
      <c r="C76" s="1" t="s">
        <v>164</v>
      </c>
      <c r="D76" s="1" t="s">
        <v>161</v>
      </c>
      <c r="E76" s="1">
        <v>6.6852569580078125E-4</v>
      </c>
      <c r="F76" s="1">
        <v>5.2220231737010181E-5</v>
      </c>
      <c r="G76" s="1">
        <v>5.79339599609375</v>
      </c>
      <c r="H76" s="1">
        <v>4.0708498954772949</v>
      </c>
      <c r="I76" s="1">
        <v>11</v>
      </c>
      <c r="J76" s="1">
        <v>3</v>
      </c>
      <c r="K76">
        <f>J76/I76</f>
        <v>0.27272727272727271</v>
      </c>
      <c r="M76" s="7">
        <v>2.6361593059999998E-4</v>
      </c>
      <c r="N76">
        <v>2.1135646687697161E-2</v>
      </c>
      <c r="P76">
        <f>N76*250</f>
        <v>5.2839116719242902</v>
      </c>
      <c r="Q76">
        <f>P76/100</f>
        <v>5.28391167192429E-2</v>
      </c>
    </row>
    <row r="77" spans="1:17">
      <c r="A77" s="1" t="s">
        <v>60</v>
      </c>
      <c r="B77" s="1" t="s">
        <v>155</v>
      </c>
      <c r="C77" s="1" t="s">
        <v>157</v>
      </c>
      <c r="D77" s="1" t="s">
        <v>166</v>
      </c>
      <c r="E77" s="1">
        <v>2.8979948256164789E-3</v>
      </c>
      <c r="F77" s="1">
        <v>9.9311908707022667E-4</v>
      </c>
      <c r="G77" s="1">
        <v>17.632585525512695</v>
      </c>
      <c r="H77" s="1">
        <v>19.624990463256836</v>
      </c>
      <c r="I77" s="1">
        <v>10</v>
      </c>
      <c r="J77" s="1">
        <v>5</v>
      </c>
      <c r="K77">
        <f>J77/I77</f>
        <v>0.5</v>
      </c>
      <c r="M77" s="7">
        <v>1.148628617E-3</v>
      </c>
      <c r="N77">
        <v>2.3781212841854932E-2</v>
      </c>
      <c r="O77">
        <v>358</v>
      </c>
      <c r="P77">
        <f>N77*250</f>
        <v>5.9453032104637336</v>
      </c>
      <c r="Q77">
        <f>P77/100</f>
        <v>5.9453032104637336E-2</v>
      </c>
    </row>
    <row r="78" spans="1:17">
      <c r="A78" s="1" t="s">
        <v>46</v>
      </c>
      <c r="B78" s="1" t="s">
        <v>155</v>
      </c>
      <c r="C78" s="1" t="s">
        <v>164</v>
      </c>
      <c r="D78" s="1" t="s">
        <v>161</v>
      </c>
      <c r="E78" s="1" t="s">
        <v>1</v>
      </c>
      <c r="F78" s="1" t="s">
        <v>1</v>
      </c>
      <c r="G78" s="1" t="s">
        <v>1</v>
      </c>
      <c r="H78" s="1" t="s">
        <v>1</v>
      </c>
      <c r="I78" s="1">
        <v>7</v>
      </c>
      <c r="J78" s="1">
        <v>0</v>
      </c>
      <c r="K78">
        <f>J78/I78</f>
        <v>0</v>
      </c>
      <c r="M78" s="7">
        <v>0</v>
      </c>
      <c r="N78">
        <v>9.2369477911646587E-3</v>
      </c>
      <c r="P78">
        <f>N78*250</f>
        <v>2.3092369477911645</v>
      </c>
      <c r="Q78">
        <f>P78/100</f>
        <v>2.3092369477911646E-2</v>
      </c>
    </row>
    <row r="79" spans="1:17">
      <c r="A79" s="1" t="s">
        <v>9</v>
      </c>
      <c r="B79" s="1" t="s">
        <v>155</v>
      </c>
      <c r="C79" s="1" t="s">
        <v>158</v>
      </c>
      <c r="D79" s="1" t="s">
        <v>160</v>
      </c>
      <c r="E79" s="1">
        <v>2.4085670702334028E-6</v>
      </c>
      <c r="F79" s="1" t="s">
        <v>1</v>
      </c>
      <c r="G79" s="1">
        <v>0.66631507873535156</v>
      </c>
      <c r="H79" s="1" t="s">
        <v>1</v>
      </c>
      <c r="I79" s="1">
        <v>5</v>
      </c>
      <c r="J79" s="1">
        <v>5</v>
      </c>
      <c r="M79" s="8">
        <v>9.7900000000000007E-7</v>
      </c>
      <c r="N79">
        <v>0</v>
      </c>
      <c r="P79">
        <f>N79*250</f>
        <v>0</v>
      </c>
      <c r="Q79">
        <f>P79/100</f>
        <v>0</v>
      </c>
    </row>
    <row r="80" spans="1:17">
      <c r="A80" s="1" t="s">
        <v>7</v>
      </c>
      <c r="B80" s="1" t="s">
        <v>155</v>
      </c>
      <c r="C80" s="1" t="s">
        <v>159</v>
      </c>
      <c r="D80" s="2" t="s">
        <v>156</v>
      </c>
      <c r="E80" s="1">
        <v>8.8908898760564625E-5</v>
      </c>
      <c r="F80" s="1">
        <v>5.0889833801193163E-5</v>
      </c>
      <c r="G80" s="1">
        <v>17.333932876586914</v>
      </c>
      <c r="H80" s="1">
        <v>5.403468132019043</v>
      </c>
      <c r="I80" s="1">
        <v>5</v>
      </c>
      <c r="J80" s="1">
        <v>4</v>
      </c>
      <c r="M80" s="8">
        <v>3.6300000000000001E-5</v>
      </c>
      <c r="N80">
        <v>0</v>
      </c>
      <c r="P80">
        <f>N80*250</f>
        <v>0</v>
      </c>
      <c r="Q80">
        <f>P80/100</f>
        <v>0</v>
      </c>
    </row>
    <row r="81" spans="1:25">
      <c r="A81" s="1" t="s">
        <v>30</v>
      </c>
      <c r="B81" s="1" t="s">
        <v>155</v>
      </c>
      <c r="C81" s="1" t="s">
        <v>165</v>
      </c>
      <c r="D81" s="1" t="s">
        <v>166</v>
      </c>
      <c r="E81" s="1">
        <v>5.8113973864237778E-6</v>
      </c>
      <c r="F81" s="1" t="s">
        <v>1</v>
      </c>
      <c r="G81" s="1" t="s">
        <v>1</v>
      </c>
      <c r="H81" s="1" t="s">
        <v>1</v>
      </c>
      <c r="I81" s="1">
        <v>4</v>
      </c>
      <c r="J81" s="1">
        <v>3</v>
      </c>
      <c r="K81">
        <f>J81/I81</f>
        <v>0.75</v>
      </c>
      <c r="M81" s="8">
        <v>2.3E-6</v>
      </c>
      <c r="N81">
        <v>0</v>
      </c>
      <c r="P81">
        <f>N81*250</f>
        <v>0</v>
      </c>
      <c r="Q81">
        <f>P81/100</f>
        <v>0</v>
      </c>
    </row>
    <row r="82" spans="1:25" ht="16.2" thickBot="1">
      <c r="A82" s="1" t="s">
        <v>20</v>
      </c>
      <c r="B82" s="1" t="s">
        <v>155</v>
      </c>
      <c r="C82" s="1" t="s">
        <v>162</v>
      </c>
      <c r="D82" s="1" t="s">
        <v>161</v>
      </c>
      <c r="E82" s="1">
        <v>1.785042059054831E-6</v>
      </c>
      <c r="F82" s="1" t="s">
        <v>1</v>
      </c>
      <c r="G82" s="1">
        <v>2.182483434677124</v>
      </c>
      <c r="H82" s="1" t="s">
        <v>1</v>
      </c>
      <c r="I82" s="1">
        <v>3</v>
      </c>
      <c r="J82" s="1"/>
      <c r="M82" s="8">
        <v>7.1699999999999997E-7</v>
      </c>
      <c r="N82">
        <v>2.2730923694779116E-2</v>
      </c>
      <c r="O82">
        <v>386.5</v>
      </c>
      <c r="P82">
        <f>N82*250</f>
        <v>5.6827309236947787</v>
      </c>
      <c r="Q82">
        <f>P82/100</f>
        <v>5.6827309236947787E-2</v>
      </c>
    </row>
    <row r="83" spans="1:25">
      <c r="A83" s="1" t="s">
        <v>5</v>
      </c>
      <c r="B83" s="1" t="s">
        <v>155</v>
      </c>
      <c r="C83" s="1" t="s">
        <v>159</v>
      </c>
      <c r="D83" s="2" t="s">
        <v>161</v>
      </c>
      <c r="E83" s="1">
        <v>4.4353411067277193E-4</v>
      </c>
      <c r="F83" s="1">
        <v>4.5060085540171713E-5</v>
      </c>
      <c r="G83" s="1">
        <v>9.5330085754394531</v>
      </c>
      <c r="H83" s="1">
        <v>2.1122477054595947</v>
      </c>
      <c r="I83" s="1">
        <v>3</v>
      </c>
      <c r="J83" s="1"/>
      <c r="M83" s="7">
        <v>1.788427419E-4</v>
      </c>
      <c r="N83">
        <v>0</v>
      </c>
      <c r="P83">
        <f>N83*250</f>
        <v>0</v>
      </c>
      <c r="Q83">
        <f>P83/100</f>
        <v>0</v>
      </c>
      <c r="S83" s="6"/>
      <c r="T83" s="6"/>
      <c r="U83" s="6"/>
      <c r="V83" s="6"/>
      <c r="W83" s="6"/>
    </row>
    <row r="84" spans="1:25">
      <c r="A84" s="1" t="s">
        <v>68</v>
      </c>
      <c r="B84" s="1" t="s">
        <v>155</v>
      </c>
      <c r="C84" s="1" t="s">
        <v>170</v>
      </c>
      <c r="D84" s="1" t="s">
        <v>156</v>
      </c>
      <c r="E84" s="1">
        <v>4.428871616255492E-4</v>
      </c>
      <c r="F84" s="1">
        <v>1.3493218284565955E-4</v>
      </c>
      <c r="G84" s="1">
        <v>3.2490642070770264</v>
      </c>
      <c r="H84" s="1">
        <v>1.8696904182434082</v>
      </c>
      <c r="I84" s="1">
        <v>2</v>
      </c>
      <c r="J84" s="1"/>
      <c r="M84" s="7">
        <v>1.7498617149999999E-4</v>
      </c>
      <c r="N84">
        <v>2.7657052548399848E-2</v>
      </c>
      <c r="O84">
        <v>363.5</v>
      </c>
      <c r="P84">
        <f>N84*250</f>
        <v>6.9142631370999617</v>
      </c>
      <c r="Q84">
        <f>P84/100</f>
        <v>6.9142631370999616E-2</v>
      </c>
    </row>
    <row r="85" spans="1:25">
      <c r="A85" s="1" t="s">
        <v>146</v>
      </c>
      <c r="B85" s="1" t="s">
        <v>155</v>
      </c>
      <c r="C85" s="1" t="s">
        <v>164</v>
      </c>
      <c r="D85" s="1" t="s">
        <v>166</v>
      </c>
      <c r="E85" s="1">
        <v>1.0496569302631542E-6</v>
      </c>
      <c r="F85" s="1">
        <v>1.623154588514808E-7</v>
      </c>
      <c r="G85" s="1">
        <v>1.6059503555297852</v>
      </c>
      <c r="H85" s="1">
        <v>1.2507740259170532</v>
      </c>
      <c r="I85" s="1">
        <v>2</v>
      </c>
      <c r="J85" s="1"/>
      <c r="M85" s="8">
        <v>4.1899999999999998E-7</v>
      </c>
      <c r="N85">
        <v>0.21140805743917032</v>
      </c>
      <c r="P85">
        <f>N85*250</f>
        <v>52.852014359792584</v>
      </c>
      <c r="Q85">
        <f>P85/100</f>
        <v>0.52852014359792587</v>
      </c>
    </row>
    <row r="86" spans="1:25" ht="16.2" thickBot="1">
      <c r="A86" s="1" t="s">
        <v>92</v>
      </c>
      <c r="B86" s="1" t="s">
        <v>155</v>
      </c>
      <c r="C86" s="1" t="s">
        <v>162</v>
      </c>
      <c r="D86" s="1" t="s">
        <v>156</v>
      </c>
      <c r="E86" s="1">
        <v>3.9289024425670505E-4</v>
      </c>
      <c r="F86" s="1">
        <v>2.1962543542031199E-4</v>
      </c>
      <c r="G86" s="1">
        <v>21.726667404174805</v>
      </c>
      <c r="H86" s="1" t="s">
        <v>1</v>
      </c>
      <c r="I86" s="1">
        <v>2</v>
      </c>
      <c r="J86" s="1"/>
      <c r="M86" s="7">
        <v>1.5747094189999999E-4</v>
      </c>
      <c r="N86">
        <v>7.0140280561122245E-2</v>
      </c>
      <c r="O86">
        <v>488</v>
      </c>
      <c r="P86">
        <f>N86*250</f>
        <v>17.53507014028056</v>
      </c>
      <c r="Q86">
        <f>P86/100</f>
        <v>0.17535070140280559</v>
      </c>
      <c r="S86" s="5"/>
      <c r="T86" s="5"/>
      <c r="U86" s="5"/>
      <c r="V86" s="5"/>
      <c r="W86" s="5"/>
    </row>
    <row r="87" spans="1:25">
      <c r="A87" s="1" t="s">
        <v>14</v>
      </c>
      <c r="B87" s="1" t="s">
        <v>155</v>
      </c>
      <c r="C87" s="1" t="s">
        <v>158</v>
      </c>
      <c r="D87" s="1" t="s">
        <v>161</v>
      </c>
      <c r="E87" s="1">
        <v>1.1418944268370979E-5</v>
      </c>
      <c r="F87" s="1">
        <v>1.0531996849749703E-5</v>
      </c>
      <c r="G87" s="1">
        <v>2.8207616806030273</v>
      </c>
      <c r="H87" s="1">
        <v>2.7830853462219238</v>
      </c>
      <c r="I87" s="1">
        <v>2</v>
      </c>
      <c r="J87" s="1"/>
      <c r="M87" s="8">
        <v>4.3900000000000003E-6</v>
      </c>
      <c r="N87">
        <v>0</v>
      </c>
      <c r="O87">
        <v>392</v>
      </c>
      <c r="P87">
        <f>N87*250</f>
        <v>0</v>
      </c>
      <c r="Q87">
        <f>P87/100</f>
        <v>0</v>
      </c>
    </row>
    <row r="88" spans="1:25">
      <c r="A88" s="1" t="s">
        <v>89</v>
      </c>
      <c r="B88" s="1" t="s">
        <v>155</v>
      </c>
      <c r="C88" s="1" t="s">
        <v>159</v>
      </c>
      <c r="D88" s="1" t="s">
        <v>161</v>
      </c>
      <c r="E88" s="1">
        <v>2.8371351072564721E-4</v>
      </c>
      <c r="F88" s="1" t="s">
        <v>1</v>
      </c>
      <c r="G88" s="1">
        <v>5.6264562606811523</v>
      </c>
      <c r="H88" s="1" t="s">
        <v>1</v>
      </c>
      <c r="I88" s="1">
        <v>2</v>
      </c>
      <c r="J88" s="1"/>
      <c r="M88" s="7">
        <v>1.1289693589999999E-4</v>
      </c>
      <c r="N88">
        <v>0.1631516116195782</v>
      </c>
      <c r="O88">
        <v>465.5</v>
      </c>
      <c r="P88">
        <f>N88*250</f>
        <v>40.787902904894551</v>
      </c>
      <c r="Q88">
        <f>P88/100</f>
        <v>0.40787902904894552</v>
      </c>
    </row>
    <row r="89" spans="1:25" ht="16.2" thickBot="1">
      <c r="A89" s="1" t="s">
        <v>44</v>
      </c>
      <c r="B89" s="1" t="s">
        <v>155</v>
      </c>
      <c r="C89" s="1" t="s">
        <v>164</v>
      </c>
      <c r="D89" s="1" t="s">
        <v>161</v>
      </c>
      <c r="E89" s="1">
        <v>3.0503381276503205E-4</v>
      </c>
      <c r="F89" s="1">
        <v>3.8002133351255907E-6</v>
      </c>
      <c r="G89" s="1">
        <v>2.5418643951416016</v>
      </c>
      <c r="H89" s="1">
        <v>0.92075735330581665</v>
      </c>
      <c r="I89" s="1">
        <v>1</v>
      </c>
      <c r="J89" s="1"/>
      <c r="M89" s="7">
        <v>1.2344394980000001E-4</v>
      </c>
      <c r="N89">
        <v>9.955483609874545E-2</v>
      </c>
      <c r="P89">
        <f>N89*250</f>
        <v>24.888709024686364</v>
      </c>
      <c r="Q89">
        <f>P89/100</f>
        <v>0.24888709024686365</v>
      </c>
    </row>
    <row r="90" spans="1:25">
      <c r="A90" s="1" t="s">
        <v>83</v>
      </c>
      <c r="B90" s="1" t="s">
        <v>155</v>
      </c>
      <c r="C90" s="1" t="s">
        <v>164</v>
      </c>
      <c r="D90" s="1" t="s">
        <v>166</v>
      </c>
      <c r="E90" s="1">
        <v>1.0798042640089989E-3</v>
      </c>
      <c r="F90" s="1">
        <v>5.5188251280924305E-5</v>
      </c>
      <c r="G90" s="1">
        <v>13.315521240234375</v>
      </c>
      <c r="H90" s="1">
        <v>2.6259732246398926</v>
      </c>
      <c r="I90" s="1">
        <v>1</v>
      </c>
      <c r="J90" s="1"/>
      <c r="M90" s="7">
        <v>4.3858651499999998E-4</v>
      </c>
      <c r="N90">
        <v>0.4833468724614135</v>
      </c>
      <c r="O90">
        <v>568</v>
      </c>
      <c r="P90">
        <f>N90*250</f>
        <v>120.83671811535338</v>
      </c>
      <c r="Q90">
        <f>P90/100</f>
        <v>1.2083671811535337</v>
      </c>
      <c r="S90" s="6"/>
      <c r="T90" s="6"/>
      <c r="U90" s="6"/>
      <c r="V90" s="6"/>
      <c r="W90" s="6"/>
      <c r="X90" s="6"/>
      <c r="Y90" s="6"/>
    </row>
    <row r="91" spans="1:25">
      <c r="A91" s="1" t="s">
        <v>54</v>
      </c>
      <c r="B91" s="1" t="s">
        <v>155</v>
      </c>
      <c r="C91" s="1" t="s">
        <v>167</v>
      </c>
      <c r="D91" s="1" t="s">
        <v>156</v>
      </c>
      <c r="E91" s="1">
        <v>4.8279152906616218E-6</v>
      </c>
      <c r="F91" s="1">
        <v>3.3970288768614409E-6</v>
      </c>
      <c r="G91" s="1">
        <v>1.4913837909698486</v>
      </c>
      <c r="H91" s="1" t="s">
        <v>1</v>
      </c>
      <c r="I91" s="1">
        <v>1</v>
      </c>
      <c r="J91" s="1"/>
      <c r="M91" s="8">
        <v>1.9599999999999999E-6</v>
      </c>
      <c r="N91">
        <v>0</v>
      </c>
      <c r="P91">
        <f>N91*250</f>
        <v>0</v>
      </c>
      <c r="Q91">
        <f>P91/100</f>
        <v>0</v>
      </c>
    </row>
    <row r="92" spans="1:25">
      <c r="A92" s="1" t="s">
        <v>56</v>
      </c>
      <c r="B92" s="1" t="s">
        <v>155</v>
      </c>
      <c r="C92" s="1" t="s">
        <v>167</v>
      </c>
      <c r="D92" s="1" t="s">
        <v>168</v>
      </c>
      <c r="E92" s="1">
        <v>8.0011304817162454E-6</v>
      </c>
      <c r="F92" s="1">
        <v>2.860203721866128E-6</v>
      </c>
      <c r="G92" s="1">
        <v>1.6157559156417847</v>
      </c>
      <c r="H92" s="1" t="s">
        <v>1</v>
      </c>
      <c r="I92" s="1">
        <v>1</v>
      </c>
      <c r="J92" s="1"/>
      <c r="K92">
        <f>J92/I92</f>
        <v>0</v>
      </c>
      <c r="M92" s="8">
        <v>3.2399999999999999E-6</v>
      </c>
      <c r="N92">
        <v>0</v>
      </c>
      <c r="P92">
        <f>N92*250</f>
        <v>0</v>
      </c>
      <c r="Q92">
        <f>P92/100</f>
        <v>0</v>
      </c>
    </row>
    <row r="93" spans="1:25">
      <c r="A93" s="1" t="s">
        <v>98</v>
      </c>
      <c r="B93" s="1" t="s">
        <v>155</v>
      </c>
      <c r="C93" s="1" t="s">
        <v>164</v>
      </c>
      <c r="D93" s="1" t="s">
        <v>156</v>
      </c>
      <c r="E93" s="1">
        <v>3.4138050395995378E-3</v>
      </c>
      <c r="F93" s="1">
        <v>4.2957956902682781E-3</v>
      </c>
      <c r="G93" s="1">
        <v>152.99278259277344</v>
      </c>
      <c r="H93" s="1" t="s">
        <v>1</v>
      </c>
      <c r="I93" s="1">
        <v>0</v>
      </c>
      <c r="J93" s="1">
        <v>0</v>
      </c>
      <c r="M93" s="7">
        <v>1.3754270749999999E-3</v>
      </c>
      <c r="N93">
        <v>0.57211925866236912</v>
      </c>
      <c r="O93">
        <v>889</v>
      </c>
      <c r="P93">
        <f>N93*250</f>
        <v>143.02981466559228</v>
      </c>
      <c r="Q93">
        <f>P93/100</f>
        <v>1.4302981466559228</v>
      </c>
    </row>
    <row r="94" spans="1:25" ht="16.2" thickBot="1">
      <c r="A94" s="1" t="s">
        <v>2</v>
      </c>
      <c r="B94" s="1" t="s">
        <v>155</v>
      </c>
      <c r="C94" s="1" t="s">
        <v>157</v>
      </c>
      <c r="D94" t="s">
        <v>156</v>
      </c>
      <c r="E94" s="1">
        <v>3.1528463750873925E-6</v>
      </c>
      <c r="F94" s="1" t="s">
        <v>1</v>
      </c>
      <c r="G94" s="1">
        <v>3.296337366104126</v>
      </c>
      <c r="H94" s="1" t="s">
        <v>1</v>
      </c>
      <c r="I94">
        <v>0</v>
      </c>
      <c r="J94" s="1"/>
      <c r="M94" s="8">
        <v>1.2300000000000001E-6</v>
      </c>
      <c r="N94">
        <v>0</v>
      </c>
      <c r="O94">
        <v>634.5</v>
      </c>
      <c r="P94">
        <f>N94*250</f>
        <v>0</v>
      </c>
      <c r="Q94">
        <f>P94/100</f>
        <v>0</v>
      </c>
      <c r="S94" s="5"/>
      <c r="T94" s="5"/>
      <c r="U94" s="5"/>
      <c r="V94" s="5"/>
      <c r="W94" s="5"/>
      <c r="X94" s="5"/>
      <c r="Y94" s="5"/>
    </row>
    <row r="95" spans="1:25">
      <c r="A95" s="1" t="s">
        <v>116</v>
      </c>
      <c r="B95" s="1" t="s">
        <v>155</v>
      </c>
      <c r="C95" s="1" t="s">
        <v>157</v>
      </c>
      <c r="D95" s="1" t="s">
        <v>156</v>
      </c>
      <c r="E95" s="1">
        <v>2.0165089517831802E-4</v>
      </c>
      <c r="F95" s="1">
        <v>6.5589352743700147E-5</v>
      </c>
      <c r="G95" s="1" t="s">
        <v>1</v>
      </c>
      <c r="H95" s="1" t="s">
        <v>1</v>
      </c>
      <c r="I95" s="1">
        <v>0</v>
      </c>
      <c r="J95" s="1">
        <v>0</v>
      </c>
      <c r="M95" s="7">
        <v>8.1049035369999995E-5</v>
      </c>
      <c r="N95">
        <v>0.29541800643086813</v>
      </c>
      <c r="O95">
        <v>950</v>
      </c>
      <c r="P95">
        <f>N95*250</f>
        <v>73.854501607717026</v>
      </c>
      <c r="Q95">
        <f>P95/100</f>
        <v>0.73854501607717027</v>
      </c>
      <c r="S95" s="10"/>
      <c r="T95" s="10"/>
      <c r="U95" s="10"/>
      <c r="V95" s="10"/>
      <c r="W95" s="10"/>
      <c r="X95" s="10"/>
      <c r="Y95" s="10"/>
    </row>
    <row r="96" spans="1:25" ht="16.2" thickBot="1">
      <c r="A96" s="1" t="s">
        <v>119</v>
      </c>
      <c r="B96" s="1" t="s">
        <v>155</v>
      </c>
      <c r="C96" s="1" t="s">
        <v>157</v>
      </c>
      <c r="D96" s="1" t="s">
        <v>156</v>
      </c>
      <c r="E96" s="1">
        <v>1.5236521721817553E-4</v>
      </c>
      <c r="F96" s="1">
        <v>1.3139449583832175E-4</v>
      </c>
      <c r="G96" s="1" t="s">
        <v>1</v>
      </c>
      <c r="H96" s="1" t="s">
        <v>1</v>
      </c>
      <c r="I96" s="1">
        <v>0</v>
      </c>
      <c r="J96" s="1">
        <v>0</v>
      </c>
      <c r="M96" s="7">
        <v>6.1070140280000001E-5</v>
      </c>
      <c r="N96">
        <v>0.38076152304609218</v>
      </c>
      <c r="O96">
        <v>525.5</v>
      </c>
      <c r="P96">
        <f>N96*250</f>
        <v>95.190380761523045</v>
      </c>
      <c r="Q96">
        <f>P96/100</f>
        <v>0.95190380761523041</v>
      </c>
      <c r="S96" s="5"/>
      <c r="T96" s="5"/>
      <c r="U96" s="5"/>
    </row>
    <row r="97" spans="1:17">
      <c r="A97" s="1" t="s">
        <v>128</v>
      </c>
      <c r="B97" s="1" t="s">
        <v>155</v>
      </c>
      <c r="C97" s="1" t="s">
        <v>190</v>
      </c>
      <c r="D97" s="1" t="s">
        <v>166</v>
      </c>
      <c r="E97" s="1" t="s">
        <v>1</v>
      </c>
      <c r="F97" s="1" t="s">
        <v>1</v>
      </c>
      <c r="G97" s="1" t="s">
        <v>1</v>
      </c>
      <c r="H97" s="1" t="s">
        <v>1</v>
      </c>
      <c r="I97" s="1">
        <v>0</v>
      </c>
      <c r="J97" s="1">
        <v>0</v>
      </c>
      <c r="M97" s="7">
        <v>0</v>
      </c>
      <c r="N97">
        <v>5.6275303643724704E-2</v>
      </c>
      <c r="O97">
        <v>553</v>
      </c>
      <c r="P97">
        <f>N97*250</f>
        <v>14.068825910931176</v>
      </c>
      <c r="Q97">
        <f>P97/100</f>
        <v>0.14068825910931176</v>
      </c>
    </row>
    <row r="98" spans="1:17">
      <c r="A98" s="1" t="s">
        <v>17</v>
      </c>
      <c r="B98" s="1" t="s">
        <v>155</v>
      </c>
      <c r="C98" s="1" t="s">
        <v>162</v>
      </c>
      <c r="D98" s="1" t="s">
        <v>156</v>
      </c>
      <c r="E98" s="1">
        <v>8.6510699475184083E-6</v>
      </c>
      <c r="F98" s="1">
        <v>8.5619103629142046E-6</v>
      </c>
      <c r="G98" s="1">
        <v>14.425225257873535</v>
      </c>
      <c r="H98" s="1" t="s">
        <v>1</v>
      </c>
      <c r="I98" s="1">
        <v>0</v>
      </c>
      <c r="M98" s="8">
        <v>3.5899999999999999E-6</v>
      </c>
      <c r="N98">
        <v>0</v>
      </c>
      <c r="O98">
        <v>417.5</v>
      </c>
      <c r="P98">
        <f>N98*250</f>
        <v>0</v>
      </c>
      <c r="Q98">
        <f>P98/100</f>
        <v>0</v>
      </c>
    </row>
    <row r="99" spans="1:17">
      <c r="A99" s="1" t="s">
        <v>95</v>
      </c>
      <c r="B99" s="1" t="s">
        <v>155</v>
      </c>
      <c r="C99" s="1" t="s">
        <v>162</v>
      </c>
      <c r="D99" s="1" t="s">
        <v>156</v>
      </c>
      <c r="E99" s="1">
        <v>6.6820342908613384E-5</v>
      </c>
      <c r="F99" s="1">
        <v>2.5304727387265302E-5</v>
      </c>
      <c r="G99" s="1">
        <v>1.6836268901824951</v>
      </c>
      <c r="H99" s="1" t="s">
        <v>1</v>
      </c>
      <c r="I99" s="1">
        <v>0</v>
      </c>
      <c r="J99" s="1"/>
      <c r="M99" s="8">
        <v>2.6699999999999998E-5</v>
      </c>
      <c r="N99">
        <v>4.8663741523733546E-2</v>
      </c>
      <c r="O99">
        <v>444.5</v>
      </c>
      <c r="P99">
        <f>N99*250</f>
        <v>12.165935380933387</v>
      </c>
      <c r="Q99">
        <f>P99/100</f>
        <v>0.12165935380933388</v>
      </c>
    </row>
    <row r="100" spans="1:17">
      <c r="A100" s="1" t="s">
        <v>58</v>
      </c>
      <c r="B100" s="1" t="s">
        <v>155</v>
      </c>
      <c r="C100" s="1" t="s">
        <v>165</v>
      </c>
      <c r="D100" s="1" t="s">
        <v>156</v>
      </c>
      <c r="E100" s="1">
        <v>5.9751550907094497E-6</v>
      </c>
      <c r="F100" s="1" t="s">
        <v>1</v>
      </c>
      <c r="G100" s="1">
        <v>3.3246662616729736</v>
      </c>
      <c r="H100" s="1" t="s">
        <v>1</v>
      </c>
      <c r="I100" s="1">
        <v>0</v>
      </c>
      <c r="J100" s="1"/>
      <c r="M100" s="8">
        <v>2.3599999999999999E-6</v>
      </c>
      <c r="N100">
        <v>0</v>
      </c>
      <c r="P100">
        <f>N100*250</f>
        <v>0</v>
      </c>
      <c r="Q100">
        <f>P100/100</f>
        <v>0</v>
      </c>
    </row>
    <row r="101" spans="1:17">
      <c r="A101" s="1" t="s">
        <v>131</v>
      </c>
      <c r="B101" s="1" t="s">
        <v>155</v>
      </c>
      <c r="C101" s="1" t="s">
        <v>165</v>
      </c>
      <c r="D101" s="1" t="s">
        <v>168</v>
      </c>
      <c r="E101" s="1" t="s">
        <v>1</v>
      </c>
      <c r="F101" s="1" t="s">
        <v>1</v>
      </c>
      <c r="G101" s="1" t="s">
        <v>1</v>
      </c>
      <c r="H101" s="1" t="s">
        <v>1</v>
      </c>
      <c r="I101" s="1">
        <v>0</v>
      </c>
      <c r="J101" s="1">
        <v>0</v>
      </c>
      <c r="M101" s="7">
        <v>0</v>
      </c>
      <c r="N101">
        <v>6.8785197103781184E-2</v>
      </c>
      <c r="O101">
        <v>865</v>
      </c>
      <c r="P101">
        <f>N101*250</f>
        <v>17.196299275945297</v>
      </c>
      <c r="Q101">
        <f>P101/100</f>
        <v>0.17196299275945295</v>
      </c>
    </row>
    <row r="102" spans="1:17">
      <c r="A102" s="1" t="s">
        <v>104</v>
      </c>
      <c r="B102" s="1" t="s">
        <v>155</v>
      </c>
      <c r="C102" s="1" t="s">
        <v>158</v>
      </c>
      <c r="D102" s="1" t="s">
        <v>166</v>
      </c>
      <c r="E102" s="1">
        <v>1.3174831110518426E-4</v>
      </c>
      <c r="F102" s="1">
        <v>1.0344071051804349E-4</v>
      </c>
      <c r="G102" s="1" t="s">
        <v>1</v>
      </c>
      <c r="H102" s="1" t="s">
        <v>1</v>
      </c>
      <c r="I102" s="1">
        <v>0</v>
      </c>
      <c r="J102" s="1">
        <v>0</v>
      </c>
      <c r="M102" s="7">
        <v>5.2911646590000002E-5</v>
      </c>
      <c r="N102">
        <v>0</v>
      </c>
      <c r="O102">
        <v>574</v>
      </c>
      <c r="P102">
        <f>N102*250</f>
        <v>0</v>
      </c>
      <c r="Q102">
        <f>P102/100</f>
        <v>0</v>
      </c>
    </row>
    <row r="103" spans="1:17">
      <c r="A103" s="1" t="s">
        <v>107</v>
      </c>
      <c r="B103" s="1" t="s">
        <v>155</v>
      </c>
      <c r="C103" s="1" t="s">
        <v>158</v>
      </c>
      <c r="D103" s="1" t="s">
        <v>166</v>
      </c>
      <c r="E103" s="1">
        <v>4.1030594729818404E-5</v>
      </c>
      <c r="F103" s="1">
        <v>1.3491513527696952E-5</v>
      </c>
      <c r="G103" s="1" t="s">
        <v>1</v>
      </c>
      <c r="H103" s="1" t="s">
        <v>1</v>
      </c>
      <c r="I103" s="1">
        <v>0</v>
      </c>
      <c r="J103" s="1">
        <v>0</v>
      </c>
      <c r="M103" s="8">
        <v>1.6399999999999999E-5</v>
      </c>
      <c r="N103">
        <v>6.9748903945795138E-2</v>
      </c>
      <c r="O103">
        <v>441</v>
      </c>
      <c r="P103">
        <f>N103*250</f>
        <v>17.437225986448784</v>
      </c>
      <c r="Q103">
        <f>P103/100</f>
        <v>0.17437225986448784</v>
      </c>
    </row>
    <row r="104" spans="1:17">
      <c r="A104" s="1" t="s">
        <v>11</v>
      </c>
      <c r="B104" s="1" t="s">
        <v>155</v>
      </c>
      <c r="C104" s="1" t="s">
        <v>158</v>
      </c>
      <c r="D104" s="1" t="s">
        <v>156</v>
      </c>
      <c r="E104" s="1">
        <v>1.7835047401604243E-5</v>
      </c>
      <c r="F104" s="1" t="s">
        <v>1</v>
      </c>
      <c r="G104" s="1">
        <v>44.639415740966797</v>
      </c>
      <c r="H104" s="1" t="s">
        <v>1</v>
      </c>
      <c r="I104">
        <v>0</v>
      </c>
      <c r="M104" s="8">
        <v>6.9700000000000002E-6</v>
      </c>
      <c r="N104">
        <v>0</v>
      </c>
      <c r="O104">
        <v>344.5</v>
      </c>
      <c r="P104">
        <f>N104*250</f>
        <v>0</v>
      </c>
      <c r="Q104">
        <f>P104/100</f>
        <v>0</v>
      </c>
    </row>
    <row r="105" spans="1:17">
      <c r="A105" s="1" t="s">
        <v>134</v>
      </c>
      <c r="B105" s="1" t="s">
        <v>155</v>
      </c>
      <c r="C105" s="1" t="s">
        <v>158</v>
      </c>
      <c r="D105" s="1" t="s">
        <v>156</v>
      </c>
      <c r="E105" s="1">
        <v>2.9695518151129363E-6</v>
      </c>
      <c r="F105" s="1">
        <v>1.833236410675454E-6</v>
      </c>
      <c r="G105" s="1">
        <v>10.561238288879395</v>
      </c>
      <c r="H105" s="1" t="s">
        <v>1</v>
      </c>
      <c r="I105" s="1">
        <v>0</v>
      </c>
      <c r="J105" s="1">
        <v>0</v>
      </c>
      <c r="M105" s="8">
        <v>1.19E-6</v>
      </c>
      <c r="N105">
        <v>0.39018503620273531</v>
      </c>
      <c r="O105">
        <v>677.5</v>
      </c>
      <c r="P105">
        <f>N105*250</f>
        <v>97.54625905068383</v>
      </c>
      <c r="Q105">
        <f>P105/100</f>
        <v>0.97546259050683826</v>
      </c>
    </row>
    <row r="106" spans="1:17">
      <c r="A106" s="1" t="s">
        <v>122</v>
      </c>
      <c r="B106" s="1" t="s">
        <v>155</v>
      </c>
      <c r="C106" s="1" t="s">
        <v>159</v>
      </c>
      <c r="D106" s="1" t="s">
        <v>161</v>
      </c>
      <c r="E106" s="1">
        <v>1.957639615284279E-4</v>
      </c>
      <c r="F106" s="1" t="s">
        <v>1</v>
      </c>
      <c r="G106" s="1" t="s">
        <v>1</v>
      </c>
      <c r="H106" s="1" t="s">
        <v>1</v>
      </c>
      <c r="I106">
        <v>0</v>
      </c>
      <c r="J106" s="1">
        <v>0</v>
      </c>
      <c r="M106" s="7">
        <v>7.7867939540000004E-5</v>
      </c>
      <c r="N106">
        <v>4.8528241845664274E-2</v>
      </c>
      <c r="O106">
        <v>491.5</v>
      </c>
      <c r="P106">
        <f>N106*250</f>
        <v>12.132060461416069</v>
      </c>
      <c r="Q106">
        <f>P106/100</f>
        <v>0.12132060461416069</v>
      </c>
    </row>
    <row r="107" spans="1:17">
      <c r="A107" s="1" t="s">
        <v>113</v>
      </c>
      <c r="B107" s="1" t="s">
        <v>155</v>
      </c>
      <c r="C107" s="1" t="s">
        <v>171</v>
      </c>
      <c r="D107" s="1" t="s">
        <v>156</v>
      </c>
      <c r="E107" s="1">
        <v>1.003615470835939E-4</v>
      </c>
      <c r="F107" s="1">
        <v>5.9633639466483146E-5</v>
      </c>
      <c r="G107" s="1">
        <v>1.8783462047576904</v>
      </c>
      <c r="H107" s="1">
        <v>1.6661256551742554</v>
      </c>
      <c r="I107" s="1">
        <v>0</v>
      </c>
      <c r="J107" s="1">
        <v>0</v>
      </c>
      <c r="M107" s="7">
        <v>3.9904572559999998E-5</v>
      </c>
      <c r="P107">
        <f>N107*250</f>
        <v>0</v>
      </c>
      <c r="Q107">
        <f>P107/100</f>
        <v>0</v>
      </c>
    </row>
    <row r="108" spans="1:17">
      <c r="A108" s="1" t="s">
        <v>101</v>
      </c>
      <c r="B108" s="1" t="s">
        <v>155</v>
      </c>
      <c r="C108" s="1" t="s">
        <v>171</v>
      </c>
      <c r="D108" s="1" t="s">
        <v>168</v>
      </c>
      <c r="E108" s="1">
        <v>1.5845638699829578E-4</v>
      </c>
      <c r="F108" s="1">
        <v>6.9168268055364024E-6</v>
      </c>
      <c r="G108" s="1">
        <v>1.735962986946106</v>
      </c>
      <c r="H108" s="1" t="s">
        <v>1</v>
      </c>
      <c r="I108" s="1">
        <v>0</v>
      </c>
      <c r="J108" s="1">
        <v>0</v>
      </c>
      <c r="M108" s="7">
        <v>6.4127883449999995E-5</v>
      </c>
      <c r="N108">
        <v>0.26369168356997974</v>
      </c>
      <c r="O108">
        <v>621.5</v>
      </c>
      <c r="P108">
        <f>N108*250</f>
        <v>65.922920892494929</v>
      </c>
      <c r="Q108">
        <f>P108/100</f>
        <v>0.65922920892494929</v>
      </c>
    </row>
    <row r="109" spans="1:17">
      <c r="A109" s="1" t="s">
        <v>42</v>
      </c>
      <c r="B109" s="1" t="s">
        <v>155</v>
      </c>
      <c r="C109" s="1" t="s">
        <v>163</v>
      </c>
      <c r="D109" s="1" t="s">
        <v>156</v>
      </c>
      <c r="E109" s="1">
        <v>4.3928892409894615E-5</v>
      </c>
      <c r="F109" s="1">
        <v>7.5184329944022465E-6</v>
      </c>
      <c r="G109" s="1">
        <v>0.81104075908660889</v>
      </c>
      <c r="H109" s="1">
        <v>0.25687712430953979</v>
      </c>
      <c r="I109" s="1">
        <v>0</v>
      </c>
      <c r="J109" s="1"/>
      <c r="M109" s="8">
        <v>1.7499999999999998E-5</v>
      </c>
      <c r="N109">
        <v>0.18846918489065606</v>
      </c>
      <c r="P109">
        <f>N109*250</f>
        <v>47.117296222664017</v>
      </c>
      <c r="Q109">
        <f>P109/100</f>
        <v>0.47117296222664018</v>
      </c>
    </row>
    <row r="110" spans="1:17">
      <c r="A110" s="1" t="s">
        <v>144</v>
      </c>
      <c r="B110" s="1" t="s">
        <v>154</v>
      </c>
      <c r="C110" s="1" t="s">
        <v>190</v>
      </c>
      <c r="D110" s="1" t="s">
        <v>166</v>
      </c>
      <c r="E110" s="1">
        <v>50.758037567138672</v>
      </c>
      <c r="F110" s="1">
        <v>57.026393890380859</v>
      </c>
      <c r="G110" s="1">
        <v>1.7108461856842041</v>
      </c>
      <c r="H110" s="1">
        <v>2.674048999324441E-3</v>
      </c>
      <c r="I110" s="1">
        <v>27</v>
      </c>
      <c r="J110" s="1">
        <v>0</v>
      </c>
      <c r="K110">
        <f>J110/I110</f>
        <v>0</v>
      </c>
      <c r="L110" s="1">
        <v>1</v>
      </c>
      <c r="M110" s="7">
        <v>525.99002689999998</v>
      </c>
      <c r="N110">
        <v>252.84974093264248</v>
      </c>
      <c r="P110">
        <f>N110*20</f>
        <v>5056.9948186528491</v>
      </c>
      <c r="Q110">
        <f>P110/100</f>
        <v>50.569948186528492</v>
      </c>
    </row>
    <row r="111" spans="1:17">
      <c r="A111" s="1" t="s">
        <v>141</v>
      </c>
      <c r="B111" s="1" t="s">
        <v>154</v>
      </c>
      <c r="C111" s="1" t="s">
        <v>159</v>
      </c>
      <c r="D111" s="1" t="s">
        <v>166</v>
      </c>
      <c r="E111" s="1">
        <v>190.18525695800781</v>
      </c>
      <c r="F111" s="1">
        <v>131.32901000976563</v>
      </c>
      <c r="G111" s="1">
        <v>2.945793628692627</v>
      </c>
      <c r="H111" s="1">
        <v>0.1550874263048172</v>
      </c>
      <c r="I111" s="1">
        <v>27</v>
      </c>
      <c r="J111" s="1">
        <v>0</v>
      </c>
      <c r="K111">
        <f>J111/I111</f>
        <v>0</v>
      </c>
      <c r="L111" s="1">
        <v>1</v>
      </c>
      <c r="M111" s="7">
        <v>1828.7043940000001</v>
      </c>
      <c r="N111">
        <v>43.028846153846146</v>
      </c>
      <c r="P111">
        <f>N111*20</f>
        <v>860.57692307692287</v>
      </c>
      <c r="Q111">
        <f>P111/100</f>
        <v>8.6057692307692282</v>
      </c>
    </row>
    <row r="112" spans="1:17">
      <c r="A112" s="1" t="s">
        <v>61</v>
      </c>
      <c r="B112" s="1" t="s">
        <v>154</v>
      </c>
      <c r="C112" s="1" t="s">
        <v>157</v>
      </c>
      <c r="D112" s="1" t="s">
        <v>166</v>
      </c>
      <c r="E112" s="1">
        <v>1.4092719648033381E-3</v>
      </c>
      <c r="F112" s="1">
        <v>1.0106954723596573E-3</v>
      </c>
      <c r="G112" s="1">
        <v>7.5385475158691406</v>
      </c>
      <c r="H112" s="1">
        <v>1.3601064682006836</v>
      </c>
      <c r="I112" s="1">
        <v>25</v>
      </c>
      <c r="J112" s="1">
        <v>0</v>
      </c>
      <c r="K112">
        <f>J112/I112</f>
        <v>0</v>
      </c>
      <c r="L112" s="1">
        <v>1</v>
      </c>
      <c r="M112" s="7">
        <v>1.4022587059999999E-2</v>
      </c>
      <c r="N112">
        <v>1.4726368159203977</v>
      </c>
      <c r="O112">
        <v>713</v>
      </c>
      <c r="P112">
        <f>N112*20</f>
        <v>29.452736318407954</v>
      </c>
      <c r="Q112">
        <f>P112/100</f>
        <v>0.29452736318407952</v>
      </c>
    </row>
    <row r="113" spans="1:19">
      <c r="A113" s="1" t="s">
        <v>111</v>
      </c>
      <c r="B113" s="1" t="s">
        <v>154</v>
      </c>
      <c r="C113" s="1" t="s">
        <v>164</v>
      </c>
      <c r="D113" s="1" t="s">
        <v>166</v>
      </c>
      <c r="E113" s="1">
        <v>1.8593881279230118E-2</v>
      </c>
      <c r="F113" s="1">
        <v>1.3096271082758904E-2</v>
      </c>
      <c r="G113" s="1">
        <v>29.332921981811523</v>
      </c>
      <c r="H113" s="1">
        <v>1.6007548570632935</v>
      </c>
      <c r="I113" s="1">
        <v>24</v>
      </c>
      <c r="J113" s="1">
        <v>0</v>
      </c>
      <c r="K113" s="1">
        <v>0</v>
      </c>
      <c r="L113" s="1">
        <v>1</v>
      </c>
      <c r="M113" s="7">
        <v>0.1878169697</v>
      </c>
      <c r="N113">
        <v>2.6262626262626263</v>
      </c>
      <c r="O113">
        <v>407</v>
      </c>
      <c r="P113">
        <f>N113*20</f>
        <v>52.525252525252526</v>
      </c>
      <c r="Q113">
        <f>P113/100</f>
        <v>0.5252525252525253</v>
      </c>
    </row>
    <row r="114" spans="1:19">
      <c r="A114" s="1" t="s">
        <v>81</v>
      </c>
      <c r="B114" s="1" t="s">
        <v>154</v>
      </c>
      <c r="C114" s="1" t="s">
        <v>190</v>
      </c>
      <c r="D114" s="1" t="s">
        <v>166</v>
      </c>
      <c r="E114" s="1">
        <v>1.1524198576807976E-2</v>
      </c>
      <c r="F114" s="1">
        <v>3.3900554990395904E-4</v>
      </c>
      <c r="G114" s="1">
        <v>19.049190521240234</v>
      </c>
      <c r="H114" s="1">
        <v>9.7679977416992188</v>
      </c>
      <c r="I114" s="1">
        <v>24</v>
      </c>
      <c r="J114" s="1">
        <v>0</v>
      </c>
      <c r="K114">
        <f>J114/I114</f>
        <v>0</v>
      </c>
      <c r="L114" s="1">
        <v>1</v>
      </c>
      <c r="M114" s="7">
        <v>0.115242</v>
      </c>
      <c r="N114">
        <v>1.1727748691099478</v>
      </c>
      <c r="O114">
        <v>397.5</v>
      </c>
      <c r="P114">
        <f>N114*20</f>
        <v>23.455497382198956</v>
      </c>
      <c r="Q114">
        <f>P114/100</f>
        <v>0.23455497382198956</v>
      </c>
    </row>
    <row r="115" spans="1:19">
      <c r="A115" s="1" t="s">
        <v>15</v>
      </c>
      <c r="B115" s="1" t="s">
        <v>154</v>
      </c>
      <c r="C115" s="1" t="s">
        <v>158</v>
      </c>
      <c r="D115" s="1" t="s">
        <v>161</v>
      </c>
      <c r="E115" s="1">
        <v>0.10316310822963715</v>
      </c>
      <c r="F115" s="1">
        <v>1.4364446513354778E-2</v>
      </c>
      <c r="G115" s="1">
        <v>1.7887221574783325</v>
      </c>
      <c r="H115" s="1">
        <v>0.29965886473655701</v>
      </c>
      <c r="I115" s="1">
        <v>24</v>
      </c>
      <c r="J115" s="1">
        <v>0</v>
      </c>
      <c r="K115">
        <f>J115/I115</f>
        <v>0</v>
      </c>
      <c r="L115" s="1">
        <v>1</v>
      </c>
      <c r="M115" s="7">
        <v>1.042051616</v>
      </c>
      <c r="N115">
        <v>0.42929292929292928</v>
      </c>
      <c r="O115">
        <v>503.5</v>
      </c>
      <c r="P115">
        <f>N115*20</f>
        <v>8.5858585858585847</v>
      </c>
      <c r="Q115">
        <f>P115/100</f>
        <v>8.5858585858585842E-2</v>
      </c>
    </row>
    <row r="116" spans="1:19">
      <c r="A116" s="1" t="s">
        <v>72</v>
      </c>
      <c r="B116" s="1" t="s">
        <v>154</v>
      </c>
      <c r="C116" s="1" t="s">
        <v>159</v>
      </c>
      <c r="D116" s="1" t="s">
        <v>166</v>
      </c>
      <c r="E116" s="1">
        <v>0.13837173581123352</v>
      </c>
      <c r="F116" s="1">
        <v>1.5107906423509121E-2</v>
      </c>
      <c r="G116" s="1">
        <v>9.5714960098266602</v>
      </c>
      <c r="H116" s="1">
        <v>1.5849008560180664</v>
      </c>
      <c r="I116" s="1">
        <v>24</v>
      </c>
      <c r="J116" s="1">
        <v>0</v>
      </c>
      <c r="K116">
        <f>J116/I116</f>
        <v>0</v>
      </c>
      <c r="L116" s="1">
        <v>1</v>
      </c>
      <c r="M116" s="7">
        <v>1.317826095</v>
      </c>
      <c r="N116">
        <v>6.5238095238095237</v>
      </c>
      <c r="O116">
        <v>408</v>
      </c>
      <c r="P116">
        <f>N116*20</f>
        <v>130.47619047619048</v>
      </c>
      <c r="Q116">
        <f>P116/100</f>
        <v>1.3047619047619048</v>
      </c>
    </row>
    <row r="117" spans="1:19">
      <c r="A117" s="1" t="s">
        <v>75</v>
      </c>
      <c r="B117" s="1" t="s">
        <v>154</v>
      </c>
      <c r="C117" s="1" t="s">
        <v>159</v>
      </c>
      <c r="D117" s="1" t="s">
        <v>156</v>
      </c>
      <c r="E117" s="1">
        <v>8.5020929574966431E-2</v>
      </c>
      <c r="F117" s="1">
        <v>3.7952077109366655E-3</v>
      </c>
      <c r="G117" s="1">
        <v>6.3095917701721191</v>
      </c>
      <c r="H117" s="1">
        <v>7.8716829419136047E-2</v>
      </c>
      <c r="I117" s="1">
        <v>24</v>
      </c>
      <c r="J117" s="1">
        <v>0</v>
      </c>
      <c r="K117">
        <f>J117/I117</f>
        <v>0</v>
      </c>
      <c r="L117" s="1">
        <v>1</v>
      </c>
      <c r="M117" s="7">
        <v>0.84179138610000004</v>
      </c>
      <c r="N117">
        <v>3.0248756218905468</v>
      </c>
      <c r="O117">
        <v>690</v>
      </c>
      <c r="P117">
        <f>N117*20</f>
        <v>60.49751243781094</v>
      </c>
      <c r="Q117">
        <f>P117/100</f>
        <v>0.60497512437810941</v>
      </c>
    </row>
    <row r="118" spans="1:19">
      <c r="A118" s="1" t="s">
        <v>36</v>
      </c>
      <c r="B118" s="1" t="s">
        <v>154</v>
      </c>
      <c r="C118" s="1" t="s">
        <v>159</v>
      </c>
      <c r="D118" s="1" t="s">
        <v>160</v>
      </c>
      <c r="E118" s="1">
        <v>0.21204128861427307</v>
      </c>
      <c r="F118" s="1">
        <v>2.8887670487165451E-2</v>
      </c>
      <c r="G118" s="1">
        <v>197.99037170410156</v>
      </c>
      <c r="H118" s="1">
        <v>186.56217956542969</v>
      </c>
      <c r="I118" s="1">
        <v>21</v>
      </c>
      <c r="J118" s="1">
        <v>3</v>
      </c>
      <c r="K118">
        <f>J118/I118</f>
        <v>0.14285714285714285</v>
      </c>
      <c r="L118">
        <f>26/31</f>
        <v>0.83870967741935487</v>
      </c>
      <c r="M118" s="7">
        <v>2.0487081159999998</v>
      </c>
      <c r="N118">
        <v>16.908212560386474</v>
      </c>
      <c r="O118">
        <v>449</v>
      </c>
      <c r="P118">
        <f>N118*20</f>
        <v>338.16425120772948</v>
      </c>
      <c r="Q118">
        <f>P118/100</f>
        <v>3.3816425120772946</v>
      </c>
    </row>
    <row r="119" spans="1:19">
      <c r="A119" s="1" t="s">
        <v>78</v>
      </c>
      <c r="B119" s="1" t="s">
        <v>154</v>
      </c>
      <c r="C119" s="1" t="s">
        <v>163</v>
      </c>
      <c r="D119" s="1" t="s">
        <v>166</v>
      </c>
      <c r="E119" s="1">
        <v>9.4067115783691406</v>
      </c>
      <c r="F119" s="1">
        <v>0.40970849990844727</v>
      </c>
      <c r="G119" s="1">
        <v>3.495295524597168</v>
      </c>
      <c r="H119" s="1">
        <v>0.53609710931777954</v>
      </c>
      <c r="I119" s="1">
        <v>21</v>
      </c>
      <c r="J119" s="1">
        <v>1</v>
      </c>
      <c r="K119">
        <f>J119/I119</f>
        <v>4.7619047619047616E-2</v>
      </c>
      <c r="L119">
        <f>33/34</f>
        <v>0.97058823529411764</v>
      </c>
      <c r="M119" s="7">
        <v>98.499597699999995</v>
      </c>
      <c r="N119">
        <v>12.041884816753925</v>
      </c>
      <c r="O119">
        <v>548</v>
      </c>
      <c r="P119">
        <f>N119*20</f>
        <v>240.83769633507848</v>
      </c>
      <c r="Q119">
        <f>P119/100</f>
        <v>2.4083769633507845</v>
      </c>
    </row>
    <row r="120" spans="1:19">
      <c r="A120" s="1" t="s">
        <v>64</v>
      </c>
      <c r="B120" s="1" t="s">
        <v>154</v>
      </c>
      <c r="C120" s="1" t="s">
        <v>158</v>
      </c>
      <c r="D120" s="1" t="s">
        <v>166</v>
      </c>
      <c r="E120" s="1">
        <v>6.2687293393537402E-4</v>
      </c>
      <c r="F120" s="1">
        <v>3.6408143932931125E-4</v>
      </c>
      <c r="G120" s="1" t="s">
        <v>1</v>
      </c>
      <c r="H120" s="1" t="s">
        <v>1</v>
      </c>
      <c r="I120" s="1">
        <v>17</v>
      </c>
      <c r="J120" s="1">
        <v>2</v>
      </c>
      <c r="K120">
        <f>J120/I120</f>
        <v>0.11764705882352941</v>
      </c>
      <c r="L120">
        <f>23/26</f>
        <v>0.88461538461538458</v>
      </c>
      <c r="M120" s="7">
        <v>6.4625773200000002E-3</v>
      </c>
      <c r="N120">
        <v>1.7938144329896908</v>
      </c>
      <c r="O120">
        <v>710</v>
      </c>
      <c r="P120">
        <f>N120*20</f>
        <v>35.876288659793815</v>
      </c>
      <c r="Q120">
        <f>P120/100</f>
        <v>0.35876288659793815</v>
      </c>
    </row>
    <row r="121" spans="1:19">
      <c r="A121" s="1" t="s">
        <v>33</v>
      </c>
      <c r="B121" s="1" t="s">
        <v>154</v>
      </c>
      <c r="C121" s="1" t="s">
        <v>157</v>
      </c>
      <c r="D121" s="1" t="s">
        <v>166</v>
      </c>
      <c r="E121" s="1">
        <v>0.28258782625198364</v>
      </c>
      <c r="F121" s="1">
        <v>8.960820734500885E-3</v>
      </c>
      <c r="G121" s="1">
        <v>15.449531555175781</v>
      </c>
      <c r="H121" s="1">
        <v>1.6927961111068726</v>
      </c>
      <c r="I121" s="1">
        <v>16</v>
      </c>
      <c r="J121" s="1">
        <v>1</v>
      </c>
      <c r="K121">
        <f>J121/I121</f>
        <v>6.25E-2</v>
      </c>
      <c r="L121">
        <f>23/25</f>
        <v>0.92</v>
      </c>
      <c r="M121" s="7">
        <v>2.7171906730000002</v>
      </c>
      <c r="N121">
        <v>0.94230769230769229</v>
      </c>
      <c r="O121">
        <v>431.5</v>
      </c>
      <c r="P121">
        <f>N121*20</f>
        <v>18.846153846153847</v>
      </c>
      <c r="Q121">
        <f>P121/100</f>
        <v>0.18846153846153846</v>
      </c>
    </row>
    <row r="122" spans="1:19">
      <c r="A122" s="1" t="s">
        <v>108</v>
      </c>
      <c r="B122" s="1" t="s">
        <v>154</v>
      </c>
      <c r="C122" s="1" t="s">
        <v>158</v>
      </c>
      <c r="D122" s="1" t="s">
        <v>166</v>
      </c>
      <c r="E122" s="1">
        <v>3.0980998650193214E-2</v>
      </c>
      <c r="F122" s="1">
        <v>8.4261372685432434E-3</v>
      </c>
      <c r="G122" s="1">
        <v>8.7122230529785156</v>
      </c>
      <c r="H122" s="1">
        <v>1.0050971508026123</v>
      </c>
      <c r="I122" s="1">
        <v>16</v>
      </c>
      <c r="J122" s="1">
        <v>3</v>
      </c>
      <c r="K122">
        <f>J122/I122</f>
        <v>0.1875</v>
      </c>
      <c r="L122">
        <f>25/27</f>
        <v>0.92592592592592593</v>
      </c>
      <c r="M122" s="7">
        <v>0.30826865669999998</v>
      </c>
      <c r="N122">
        <v>0.31343283582089548</v>
      </c>
      <c r="O122">
        <v>402.5</v>
      </c>
      <c r="P122">
        <f>N122*20</f>
        <v>6.2686567164179099</v>
      </c>
      <c r="Q122">
        <f>P122/100</f>
        <v>6.2686567164179099E-2</v>
      </c>
    </row>
    <row r="123" spans="1:19">
      <c r="A123" s="1" t="s">
        <v>138</v>
      </c>
      <c r="B123" s="1" t="s">
        <v>154</v>
      </c>
      <c r="C123" s="1" t="s">
        <v>158</v>
      </c>
      <c r="D123" s="1" t="s">
        <v>156</v>
      </c>
      <c r="E123" s="1">
        <v>2.947147935628891E-3</v>
      </c>
      <c r="F123" s="1">
        <v>2.3259084264282137E-4</v>
      </c>
      <c r="G123" s="1">
        <v>25.080526351928711</v>
      </c>
      <c r="H123" s="1">
        <v>0.11589911580085754</v>
      </c>
      <c r="I123" s="1">
        <v>16</v>
      </c>
      <c r="J123" s="1">
        <v>2</v>
      </c>
      <c r="K123">
        <f>J123/I123</f>
        <v>0.125</v>
      </c>
      <c r="L123">
        <f>22/25</f>
        <v>0.88</v>
      </c>
      <c r="M123" s="7">
        <v>2.716267281E-2</v>
      </c>
      <c r="N123">
        <v>0.51612903225806461</v>
      </c>
      <c r="P123">
        <f>N123*20</f>
        <v>10.322580645161292</v>
      </c>
      <c r="Q123">
        <f>P123/100</f>
        <v>0.10322580645161292</v>
      </c>
    </row>
    <row r="124" spans="1:19">
      <c r="A124" s="1" t="s">
        <v>24</v>
      </c>
      <c r="B124" s="1" t="s">
        <v>154</v>
      </c>
      <c r="C124" s="1" t="s">
        <v>190</v>
      </c>
      <c r="D124" s="1" t="s">
        <v>161</v>
      </c>
      <c r="E124" s="1">
        <v>1.0451586246490479</v>
      </c>
      <c r="F124" s="1">
        <v>0.54893958568572998</v>
      </c>
      <c r="G124" s="1">
        <v>28.176158905029297</v>
      </c>
      <c r="H124" s="1">
        <v>6.0072393417358398</v>
      </c>
      <c r="I124" s="1">
        <v>15</v>
      </c>
      <c r="J124" s="1">
        <v>7</v>
      </c>
      <c r="K124">
        <f>J124/I124</f>
        <v>0.46666666666666667</v>
      </c>
      <c r="L124">
        <f>20/27</f>
        <v>0.7407407407407407</v>
      </c>
      <c r="M124" s="7">
        <v>0</v>
      </c>
      <c r="N124">
        <v>11.08910891089109</v>
      </c>
      <c r="O124">
        <v>498</v>
      </c>
      <c r="P124">
        <f>N124*20</f>
        <v>221.78217821782181</v>
      </c>
      <c r="Q124">
        <f>P124/100</f>
        <v>2.217821782178218</v>
      </c>
    </row>
    <row r="125" spans="1:19">
      <c r="A125" s="1" t="s">
        <v>65</v>
      </c>
      <c r="B125" s="1" t="s">
        <v>154</v>
      </c>
      <c r="C125" s="1" t="s">
        <v>190</v>
      </c>
      <c r="D125" s="1" t="s">
        <v>166</v>
      </c>
      <c r="E125" s="1">
        <v>6.1336159706115723E-3</v>
      </c>
      <c r="F125" s="1">
        <v>1.8984758062288165E-3</v>
      </c>
      <c r="G125" s="1">
        <v>17.155921936035156</v>
      </c>
      <c r="H125" s="1">
        <v>4.5867490768432617</v>
      </c>
      <c r="I125" s="1">
        <v>15</v>
      </c>
      <c r="J125" s="1">
        <v>1</v>
      </c>
      <c r="K125">
        <f>J125/I125</f>
        <v>6.6666666666666666E-2</v>
      </c>
      <c r="M125" s="4">
        <f>(E125*200)/19.6</f>
        <v>6.2587918067465012E-2</v>
      </c>
      <c r="P125">
        <f>N125*20</f>
        <v>0</v>
      </c>
      <c r="Q125">
        <f>P125/100</f>
        <v>0</v>
      </c>
    </row>
    <row r="126" spans="1:19">
      <c r="A126" s="1" t="s">
        <v>87</v>
      </c>
      <c r="B126" s="1" t="s">
        <v>154</v>
      </c>
      <c r="C126" s="1" t="s">
        <v>159</v>
      </c>
      <c r="D126" s="1" t="s">
        <v>160</v>
      </c>
      <c r="E126" s="1">
        <v>7.6288161277770996</v>
      </c>
      <c r="F126" s="1">
        <v>0.29433268308639526</v>
      </c>
      <c r="G126" s="1">
        <v>14.943820953369141</v>
      </c>
      <c r="H126" s="1">
        <v>1.3176784515380859</v>
      </c>
      <c r="I126" s="1">
        <v>14</v>
      </c>
      <c r="J126" s="1">
        <v>3</v>
      </c>
      <c r="K126">
        <f>J126/I126</f>
        <v>0.21428571428571427</v>
      </c>
      <c r="L126">
        <f>18/21</f>
        <v>0.8571428571428571</v>
      </c>
      <c r="M126" s="7">
        <v>77.058748789999996</v>
      </c>
      <c r="N126">
        <v>20</v>
      </c>
      <c r="P126">
        <f>N126*20</f>
        <v>400</v>
      </c>
      <c r="Q126">
        <f>P126/100</f>
        <v>4</v>
      </c>
    </row>
    <row r="127" spans="1:19">
      <c r="A127" s="1" t="s">
        <v>84</v>
      </c>
      <c r="B127" s="1" t="s">
        <v>154</v>
      </c>
      <c r="C127" s="1" t="s">
        <v>164</v>
      </c>
      <c r="D127" s="1" t="s">
        <v>166</v>
      </c>
      <c r="E127" s="1">
        <v>3.4174539614468813E-3</v>
      </c>
      <c r="F127" s="1">
        <v>1.2810074258595705E-4</v>
      </c>
      <c r="G127" s="1">
        <v>2.6118435859680176</v>
      </c>
      <c r="H127" s="1">
        <v>4.1966461576521397E-3</v>
      </c>
      <c r="I127" s="1">
        <v>13</v>
      </c>
      <c r="J127" s="1">
        <v>9</v>
      </c>
      <c r="K127">
        <f>J127/I127</f>
        <v>0.69230769230769229</v>
      </c>
      <c r="M127" s="7">
        <v>3.3669458130000003E-2</v>
      </c>
      <c r="N127">
        <v>0</v>
      </c>
      <c r="O127">
        <v>559.5</v>
      </c>
      <c r="P127">
        <f>N127*20</f>
        <v>0</v>
      </c>
      <c r="Q127">
        <f>P127/100</f>
        <v>0</v>
      </c>
    </row>
    <row r="128" spans="1:19">
      <c r="A128" s="1" t="s">
        <v>66</v>
      </c>
      <c r="B128" s="1" t="s">
        <v>154</v>
      </c>
      <c r="C128" s="1" t="s">
        <v>164</v>
      </c>
      <c r="D128" s="1" t="s">
        <v>161</v>
      </c>
      <c r="E128" s="1">
        <v>5.7916063815355301E-4</v>
      </c>
      <c r="F128" s="1">
        <v>1.9645522115752101E-4</v>
      </c>
      <c r="G128" s="1">
        <v>64.567253112792969</v>
      </c>
      <c r="H128" s="1" t="s">
        <v>1</v>
      </c>
      <c r="I128" s="1">
        <v>11</v>
      </c>
      <c r="J128" s="1">
        <v>6</v>
      </c>
      <c r="K128">
        <f>J128/I128</f>
        <v>0.54545454545454541</v>
      </c>
      <c r="M128" s="7">
        <v>0</v>
      </c>
      <c r="P128">
        <f>N128*20</f>
        <v>0</v>
      </c>
      <c r="Q128">
        <f>P128/100</f>
        <v>0</v>
      </c>
      <c r="R128" s="11"/>
      <c r="S128">
        <f>AVERAGE(I115:I124)</f>
        <v>19.399999999999999</v>
      </c>
    </row>
    <row r="129" spans="1:18">
      <c r="A129" s="1" t="s">
        <v>117</v>
      </c>
      <c r="B129" s="1" t="s">
        <v>154</v>
      </c>
      <c r="C129" s="1" t="s">
        <v>157</v>
      </c>
      <c r="D129" s="1" t="s">
        <v>156</v>
      </c>
      <c r="E129" s="1">
        <v>9.001739090308547E-5</v>
      </c>
      <c r="F129" s="1">
        <v>6.1224614910315722E-5</v>
      </c>
      <c r="G129" s="1">
        <v>4.1000900268554688</v>
      </c>
      <c r="H129" s="1" t="s">
        <v>1</v>
      </c>
      <c r="I129" s="1">
        <v>8</v>
      </c>
      <c r="J129" s="1">
        <v>5</v>
      </c>
      <c r="K129">
        <f>J129/I129</f>
        <v>0.625</v>
      </c>
      <c r="M129" s="8">
        <v>8.83E-4</v>
      </c>
      <c r="N129">
        <v>1.6666666666666667</v>
      </c>
      <c r="O129">
        <v>561</v>
      </c>
      <c r="P129">
        <f>N129*20</f>
        <v>33.333333333333336</v>
      </c>
      <c r="Q129">
        <f>P129/100</f>
        <v>0.33333333333333337</v>
      </c>
    </row>
    <row r="130" spans="1:18">
      <c r="A130" s="1" t="s">
        <v>123</v>
      </c>
      <c r="B130" s="1" t="s">
        <v>154</v>
      </c>
      <c r="C130" s="1" t="s">
        <v>159</v>
      </c>
      <c r="D130" s="1" t="s">
        <v>161</v>
      </c>
      <c r="E130" s="1">
        <v>3.1961564673110843E-4</v>
      </c>
      <c r="F130" s="1">
        <v>9.0613175416365266E-5</v>
      </c>
      <c r="G130" s="1" t="s">
        <v>1</v>
      </c>
      <c r="H130" s="1" t="s">
        <v>1</v>
      </c>
      <c r="I130" s="1">
        <v>8</v>
      </c>
      <c r="J130" s="1">
        <v>1</v>
      </c>
      <c r="K130">
        <f>J130/I130</f>
        <v>0.125</v>
      </c>
      <c r="M130" s="7">
        <v>3.312124352E-3</v>
      </c>
      <c r="N130">
        <v>0.34715025906735753</v>
      </c>
      <c r="O130">
        <v>421</v>
      </c>
      <c r="P130">
        <f>N130*20</f>
        <v>6.9430051813471501</v>
      </c>
      <c r="Q130">
        <f>P130/100</f>
        <v>6.9430051813471505E-2</v>
      </c>
    </row>
    <row r="131" spans="1:18">
      <c r="A131" s="1" t="s">
        <v>69</v>
      </c>
      <c r="B131" s="1" t="s">
        <v>154</v>
      </c>
      <c r="C131" s="1" t="s">
        <v>170</v>
      </c>
      <c r="D131" s="1" t="s">
        <v>156</v>
      </c>
      <c r="E131" s="1">
        <v>6.5827523940242827E-5</v>
      </c>
      <c r="F131" s="1">
        <v>2.5122466468019411E-5</v>
      </c>
      <c r="G131" s="1" t="s">
        <v>1</v>
      </c>
      <c r="H131" s="1" t="s">
        <v>1</v>
      </c>
      <c r="I131" s="1">
        <v>7</v>
      </c>
      <c r="J131" s="1">
        <v>5</v>
      </c>
      <c r="K131">
        <f>J131/I131</f>
        <v>0.7142857142857143</v>
      </c>
      <c r="M131" s="8">
        <v>6.9700000000000003E-4</v>
      </c>
      <c r="N131">
        <v>0.86243386243386255</v>
      </c>
      <c r="O131">
        <v>538</v>
      </c>
      <c r="P131">
        <f>N131*20</f>
        <v>17.24867724867725</v>
      </c>
      <c r="Q131">
        <f>P131/100</f>
        <v>0.17248677248677249</v>
      </c>
    </row>
    <row r="132" spans="1:18">
      <c r="A132" s="1" t="s">
        <v>147</v>
      </c>
      <c r="B132" s="1" t="s">
        <v>154</v>
      </c>
      <c r="C132" s="1" t="s">
        <v>164</v>
      </c>
      <c r="D132" s="1" t="s">
        <v>166</v>
      </c>
      <c r="E132" s="1">
        <v>2.7984860935248435E-5</v>
      </c>
      <c r="F132" s="1">
        <v>6.9522711783065461E-6</v>
      </c>
      <c r="G132" s="1">
        <v>2.537083625793457</v>
      </c>
      <c r="H132" s="1">
        <v>1.0827986001968384</v>
      </c>
      <c r="I132" s="1">
        <v>6</v>
      </c>
      <c r="J132" s="1">
        <v>2</v>
      </c>
      <c r="K132">
        <f>J132/I132</f>
        <v>0.33333333333333331</v>
      </c>
      <c r="M132" s="8">
        <v>2.8600000000000001E-4</v>
      </c>
      <c r="N132">
        <v>0.38775510204081626</v>
      </c>
      <c r="P132">
        <f>N132*20</f>
        <v>7.7551020408163254</v>
      </c>
      <c r="Q132">
        <f>P132/100</f>
        <v>7.7551020408163251E-2</v>
      </c>
    </row>
    <row r="133" spans="1:18">
      <c r="A133" s="1" t="s">
        <v>126</v>
      </c>
      <c r="B133" s="1" t="s">
        <v>154</v>
      </c>
      <c r="C133" s="1" t="s">
        <v>190</v>
      </c>
      <c r="D133" s="1" t="s">
        <v>166</v>
      </c>
      <c r="E133" s="1">
        <v>2.4424314498901367</v>
      </c>
      <c r="F133" s="1">
        <v>3.4536192417144775</v>
      </c>
      <c r="G133" s="1">
        <v>9000.6484375</v>
      </c>
      <c r="H133" s="1" t="s">
        <v>1</v>
      </c>
      <c r="I133" s="1">
        <v>6</v>
      </c>
      <c r="J133" s="1">
        <v>1</v>
      </c>
      <c r="K133">
        <f>J133/I133</f>
        <v>0.16666666666666666</v>
      </c>
      <c r="M133" s="7">
        <v>25.441994269999999</v>
      </c>
      <c r="N133">
        <v>75.520833333333343</v>
      </c>
      <c r="O133">
        <v>309.5</v>
      </c>
      <c r="P133">
        <f>N133*20</f>
        <v>1510.416666666667</v>
      </c>
      <c r="Q133">
        <f>P133/100</f>
        <v>15.10416666666667</v>
      </c>
    </row>
    <row r="134" spans="1:18">
      <c r="A134" s="1" t="s">
        <v>129</v>
      </c>
      <c r="B134" s="1" t="s">
        <v>154</v>
      </c>
      <c r="C134" s="1" t="s">
        <v>190</v>
      </c>
      <c r="D134" s="1" t="s">
        <v>166</v>
      </c>
      <c r="E134" s="1">
        <v>5.194631012273021E-5</v>
      </c>
      <c r="F134" s="1">
        <v>1.4214008842827752E-5</v>
      </c>
      <c r="G134" s="1">
        <v>115.14289855957031</v>
      </c>
      <c r="H134" s="1">
        <v>138.07252502441406</v>
      </c>
      <c r="I134" s="1">
        <v>4</v>
      </c>
      <c r="J134" s="1">
        <v>1</v>
      </c>
      <c r="K134">
        <f>J134/I134</f>
        <v>0.25</v>
      </c>
      <c r="M134" s="8">
        <v>5.1199999999999998E-4</v>
      </c>
      <c r="N134">
        <v>0</v>
      </c>
      <c r="O134">
        <v>503.5</v>
      </c>
      <c r="P134">
        <f>N134*20</f>
        <v>0</v>
      </c>
      <c r="Q134">
        <f>P134/100</f>
        <v>0</v>
      </c>
    </row>
    <row r="135" spans="1:18">
      <c r="A135" s="1" t="s">
        <v>93</v>
      </c>
      <c r="B135" s="1" t="s">
        <v>154</v>
      </c>
      <c r="C135" s="1" t="s">
        <v>162</v>
      </c>
      <c r="D135" s="1" t="s">
        <v>156</v>
      </c>
      <c r="E135" s="1">
        <v>9.0553448535501957E-4</v>
      </c>
      <c r="F135" s="1">
        <v>2.5055379956029356E-4</v>
      </c>
      <c r="G135" s="1">
        <v>37.375690460205078</v>
      </c>
      <c r="H135" s="1">
        <v>27.155906677246094</v>
      </c>
      <c r="I135" s="1">
        <v>2</v>
      </c>
      <c r="J135" s="1"/>
      <c r="M135" s="7">
        <v>9.3353608249999998E-3</v>
      </c>
      <c r="N135">
        <v>0.30412371134020616</v>
      </c>
      <c r="O135">
        <v>630</v>
      </c>
      <c r="P135">
        <f>N135*20</f>
        <v>6.0824742268041234</v>
      </c>
      <c r="Q135">
        <f>P135/100</f>
        <v>6.0824742268041236E-2</v>
      </c>
    </row>
    <row r="136" spans="1:18">
      <c r="A136" s="1" t="s">
        <v>90</v>
      </c>
      <c r="B136" s="1" t="s">
        <v>154</v>
      </c>
      <c r="C136" s="1" t="s">
        <v>159</v>
      </c>
      <c r="D136" s="1" t="s">
        <v>161</v>
      </c>
      <c r="E136" s="1">
        <v>6.9290347164496779E-4</v>
      </c>
      <c r="F136" s="1">
        <v>1.8534043920226395E-4</v>
      </c>
      <c r="G136" s="1">
        <v>7.799323558807373</v>
      </c>
      <c r="H136" s="1" t="s">
        <v>1</v>
      </c>
      <c r="I136" s="1">
        <v>2</v>
      </c>
      <c r="J136" s="1"/>
      <c r="M136" s="7">
        <v>6.8603960400000002E-3</v>
      </c>
      <c r="N136">
        <v>0</v>
      </c>
      <c r="O136">
        <v>800.5</v>
      </c>
      <c r="P136">
        <f>N136*20</f>
        <v>0</v>
      </c>
      <c r="Q136">
        <f>P136/100</f>
        <v>0</v>
      </c>
    </row>
    <row r="137" spans="1:18">
      <c r="A137" s="1" t="s">
        <v>18</v>
      </c>
      <c r="B137" s="1" t="s">
        <v>154</v>
      </c>
      <c r="C137" s="1" t="s">
        <v>162</v>
      </c>
      <c r="D137" s="1" t="s">
        <v>156</v>
      </c>
      <c r="E137" s="1">
        <v>1.2014011153951287E-3</v>
      </c>
      <c r="F137" s="1">
        <v>3.569772161426954E-5</v>
      </c>
      <c r="G137" s="1">
        <v>3.2961454391479492</v>
      </c>
      <c r="H137" s="1">
        <v>1.1053838729858398</v>
      </c>
      <c r="I137" s="1">
        <v>1</v>
      </c>
      <c r="J137" s="1"/>
      <c r="M137" s="7">
        <v>1.2135353539999999E-2</v>
      </c>
      <c r="N137">
        <v>0.99494949494949492</v>
      </c>
      <c r="O137">
        <v>532.5</v>
      </c>
      <c r="P137">
        <f>N137*20</f>
        <v>19.8989898989899</v>
      </c>
      <c r="Q137">
        <f>P137/100</f>
        <v>0.19898989898989899</v>
      </c>
    </row>
    <row r="138" spans="1:18">
      <c r="A138" s="1" t="s">
        <v>96</v>
      </c>
      <c r="B138" s="1" t="s">
        <v>154</v>
      </c>
      <c r="C138" s="1" t="s">
        <v>162</v>
      </c>
      <c r="D138" s="1" t="s">
        <v>156</v>
      </c>
      <c r="E138" s="1">
        <v>3.6551218363456428E-4</v>
      </c>
      <c r="F138" s="1">
        <v>2.9397509933914989E-5</v>
      </c>
      <c r="G138" s="1">
        <v>22.26951789855957</v>
      </c>
      <c r="H138" s="1" t="s">
        <v>1</v>
      </c>
      <c r="I138" s="1">
        <v>1</v>
      </c>
      <c r="J138" s="1">
        <v>1</v>
      </c>
      <c r="K138">
        <f>J138/1</f>
        <v>1</v>
      </c>
      <c r="M138" s="7">
        <v>3.3077828049999998E-3</v>
      </c>
      <c r="N138">
        <v>0.36651583710407237</v>
      </c>
      <c r="O138">
        <v>582</v>
      </c>
      <c r="P138">
        <f>N138*20</f>
        <v>7.3303167420814477</v>
      </c>
      <c r="Q138">
        <f>P138/100</f>
        <v>7.3303167420814483E-2</v>
      </c>
    </row>
    <row r="139" spans="1:18">
      <c r="A139" s="1" t="s">
        <v>99</v>
      </c>
      <c r="B139" s="1" t="s">
        <v>154</v>
      </c>
      <c r="C139" s="1" t="s">
        <v>164</v>
      </c>
      <c r="D139" s="1" t="s">
        <v>156</v>
      </c>
      <c r="E139" s="1">
        <v>1.2267316924408078E-4</v>
      </c>
      <c r="F139" s="1" t="s">
        <v>1</v>
      </c>
      <c r="G139" s="1">
        <v>1.8562430143356323</v>
      </c>
      <c r="H139" s="1" t="s">
        <v>1</v>
      </c>
      <c r="I139" s="1">
        <v>0</v>
      </c>
      <c r="J139" s="1">
        <v>0</v>
      </c>
      <c r="M139" s="7">
        <v>1.1967804879999999E-3</v>
      </c>
      <c r="N139">
        <v>0</v>
      </c>
      <c r="O139">
        <v>426.5</v>
      </c>
      <c r="P139">
        <f>N139*20</f>
        <v>0</v>
      </c>
      <c r="Q139">
        <f>P139/100</f>
        <v>0</v>
      </c>
    </row>
    <row r="140" spans="1:18">
      <c r="A140" s="1" t="s">
        <v>3</v>
      </c>
      <c r="B140" s="1" t="s">
        <v>154</v>
      </c>
      <c r="C140" s="1" t="s">
        <v>157</v>
      </c>
      <c r="D140" t="s">
        <v>156</v>
      </c>
      <c r="E140" s="1">
        <v>1.1445037671364844E-4</v>
      </c>
      <c r="F140" s="1">
        <v>1.447061549697537E-5</v>
      </c>
      <c r="G140" s="1" t="s">
        <v>1</v>
      </c>
      <c r="H140" s="1" t="s">
        <v>1</v>
      </c>
      <c r="I140">
        <v>0</v>
      </c>
      <c r="M140" s="7">
        <v>1.09E-3</v>
      </c>
      <c r="N140">
        <v>0.50952380952380949</v>
      </c>
      <c r="O140">
        <v>558.5</v>
      </c>
      <c r="P140">
        <f>N140*20</f>
        <v>10.19047619047619</v>
      </c>
      <c r="Q140">
        <f>P140/100</f>
        <v>0.1019047619047619</v>
      </c>
    </row>
    <row r="141" spans="1:18">
      <c r="A141" s="1" t="s">
        <v>120</v>
      </c>
      <c r="B141" s="1" t="s">
        <v>154</v>
      </c>
      <c r="C141" s="1" t="s">
        <v>157</v>
      </c>
      <c r="D141" s="1" t="s">
        <v>156</v>
      </c>
      <c r="E141" s="1">
        <v>4.3774511141236871E-5</v>
      </c>
      <c r="F141" s="1" t="s">
        <v>1</v>
      </c>
      <c r="G141" s="1" t="s">
        <v>1</v>
      </c>
      <c r="H141" s="1" t="s">
        <v>1</v>
      </c>
      <c r="I141" s="1">
        <v>0</v>
      </c>
      <c r="J141" s="1">
        <v>0</v>
      </c>
      <c r="M141" s="8">
        <v>4.5800000000000002E-4</v>
      </c>
      <c r="N141">
        <v>0.66492146596858626</v>
      </c>
      <c r="O141">
        <v>823</v>
      </c>
      <c r="P141">
        <f>N141*20</f>
        <v>13.298429319371724</v>
      </c>
      <c r="Q141">
        <f>P141/100</f>
        <v>0.13298429319371724</v>
      </c>
      <c r="R141" s="11"/>
    </row>
    <row r="142" spans="1:18">
      <c r="A142" s="1" t="s">
        <v>21</v>
      </c>
      <c r="B142" s="1" t="s">
        <v>154</v>
      </c>
      <c r="C142" s="1" t="s">
        <v>162</v>
      </c>
      <c r="D142" s="1" t="s">
        <v>161</v>
      </c>
      <c r="E142" s="1">
        <v>2.4054832756519318E-3</v>
      </c>
      <c r="F142" s="1">
        <v>2.0634974353015423E-3</v>
      </c>
      <c r="G142" s="1">
        <v>20.174688339233398</v>
      </c>
      <c r="H142" s="1">
        <v>17.232633590698242</v>
      </c>
      <c r="I142" s="1">
        <v>0</v>
      </c>
      <c r="M142" s="4">
        <v>0</v>
      </c>
      <c r="N142">
        <v>0</v>
      </c>
      <c r="O142">
        <v>961</v>
      </c>
      <c r="P142">
        <f>N142*20</f>
        <v>0</v>
      </c>
      <c r="Q142">
        <f>P142/100</f>
        <v>0</v>
      </c>
    </row>
    <row r="143" spans="1:18">
      <c r="A143" s="1" t="s">
        <v>132</v>
      </c>
      <c r="B143" s="1" t="s">
        <v>154</v>
      </c>
      <c r="C143" s="1" t="s">
        <v>165</v>
      </c>
      <c r="D143" s="1" t="s">
        <v>168</v>
      </c>
      <c r="E143" s="1">
        <v>2.9954471756354906E-6</v>
      </c>
      <c r="F143" s="1" t="s">
        <v>1</v>
      </c>
      <c r="G143" s="1">
        <v>8.1563224792480469</v>
      </c>
      <c r="H143" s="1" t="s">
        <v>1</v>
      </c>
      <c r="I143" s="1">
        <v>0</v>
      </c>
      <c r="J143" s="1">
        <v>0</v>
      </c>
      <c r="M143" s="8">
        <v>3.01E-5</v>
      </c>
      <c r="N143">
        <v>0.67839195979899503</v>
      </c>
      <c r="O143">
        <v>523</v>
      </c>
      <c r="P143">
        <f>N143*20</f>
        <v>13.5678391959799</v>
      </c>
      <c r="Q143">
        <f>P143/100</f>
        <v>0.135678391959799</v>
      </c>
    </row>
    <row r="144" spans="1:18">
      <c r="A144" s="1" t="s">
        <v>105</v>
      </c>
      <c r="B144" s="1" t="s">
        <v>154</v>
      </c>
      <c r="C144" s="1" t="s">
        <v>158</v>
      </c>
      <c r="D144" s="1" t="s">
        <v>166</v>
      </c>
      <c r="E144" s="1">
        <v>2.2564902610611171E-4</v>
      </c>
      <c r="F144" s="1" t="s">
        <v>1</v>
      </c>
      <c r="G144" s="1" t="s">
        <v>1</v>
      </c>
      <c r="H144" s="1" t="s">
        <v>1</v>
      </c>
      <c r="I144" s="1">
        <v>0</v>
      </c>
      <c r="J144" s="1">
        <v>0</v>
      </c>
      <c r="L144" s="1"/>
      <c r="M144" s="7">
        <v>5.1284090909999996E-3</v>
      </c>
      <c r="N144">
        <v>0</v>
      </c>
      <c r="O144">
        <v>772</v>
      </c>
      <c r="P144">
        <f>N144*20</f>
        <v>0</v>
      </c>
      <c r="Q144">
        <f>P144/100</f>
        <v>0</v>
      </c>
    </row>
    <row r="145" spans="1:18">
      <c r="A145" s="1" t="s">
        <v>12</v>
      </c>
      <c r="B145" s="1" t="s">
        <v>154</v>
      </c>
      <c r="C145" s="1" t="s">
        <v>158</v>
      </c>
      <c r="D145" s="1" t="s">
        <v>156</v>
      </c>
      <c r="E145" s="1">
        <v>3.385759555385448E-5</v>
      </c>
      <c r="F145" s="1" t="s">
        <v>1</v>
      </c>
      <c r="G145" s="1" t="s">
        <v>1</v>
      </c>
      <c r="H145" s="1" t="s">
        <v>1</v>
      </c>
      <c r="I145">
        <v>0</v>
      </c>
      <c r="M145" s="8">
        <v>3.3399999999999999E-4</v>
      </c>
      <c r="N145">
        <v>0</v>
      </c>
      <c r="O145">
        <v>1072.5</v>
      </c>
      <c r="P145">
        <f>N145*20</f>
        <v>0</v>
      </c>
      <c r="Q145">
        <f>P145/100</f>
        <v>0</v>
      </c>
    </row>
    <row r="146" spans="1:18">
      <c r="A146" s="1" t="s">
        <v>135</v>
      </c>
      <c r="B146" s="1" t="s">
        <v>154</v>
      </c>
      <c r="C146" s="1" t="s">
        <v>158</v>
      </c>
      <c r="D146" s="1" t="s">
        <v>156</v>
      </c>
      <c r="E146" s="1">
        <v>2.6765849270304898E-6</v>
      </c>
      <c r="F146" s="1">
        <v>1.8781959454372554E-7</v>
      </c>
      <c r="G146" s="1">
        <v>3.1499981880187988</v>
      </c>
      <c r="H146" s="1" t="s">
        <v>1</v>
      </c>
      <c r="I146" s="1">
        <v>0</v>
      </c>
      <c r="J146" s="1">
        <v>0</v>
      </c>
      <c r="M146" s="8">
        <v>2.8200000000000001E-5</v>
      </c>
      <c r="N146">
        <v>0.43157894736842112</v>
      </c>
      <c r="O146">
        <v>639</v>
      </c>
      <c r="P146">
        <f>N146*20</f>
        <v>8.631578947368423</v>
      </c>
      <c r="Q146">
        <f>P146/100</f>
        <v>8.6315789473684235E-2</v>
      </c>
    </row>
    <row r="147" spans="1:18">
      <c r="A147" s="1" t="s">
        <v>114</v>
      </c>
      <c r="B147" s="1" t="s">
        <v>154</v>
      </c>
      <c r="C147" s="1" t="s">
        <v>171</v>
      </c>
      <c r="D147" s="1" t="s">
        <v>156</v>
      </c>
      <c r="E147" s="1"/>
      <c r="F147" s="1" t="s">
        <v>1</v>
      </c>
      <c r="G147" s="1" t="s">
        <v>1</v>
      </c>
      <c r="H147" s="1" t="s">
        <v>1</v>
      </c>
      <c r="I147" s="1">
        <v>0</v>
      </c>
      <c r="J147" s="1">
        <v>0</v>
      </c>
      <c r="M147" s="7">
        <v>0</v>
      </c>
      <c r="P147">
        <f>N147*20</f>
        <v>0</v>
      </c>
      <c r="Q147">
        <f>P147/100</f>
        <v>0</v>
      </c>
      <c r="R147" s="11"/>
    </row>
    <row r="148" spans="1:18">
      <c r="A148" s="1" t="s">
        <v>102</v>
      </c>
      <c r="B148" s="1" t="s">
        <v>154</v>
      </c>
      <c r="C148" s="1" t="s">
        <v>171</v>
      </c>
      <c r="D148" s="1" t="s">
        <v>168</v>
      </c>
      <c r="E148" s="1">
        <v>1.5778529632370919E-4</v>
      </c>
      <c r="F148" s="1">
        <v>1.4059261593502015E-4</v>
      </c>
      <c r="G148" s="1">
        <v>4.6228256225585938</v>
      </c>
      <c r="H148" s="1" t="s">
        <v>1</v>
      </c>
      <c r="I148" s="1">
        <v>0</v>
      </c>
      <c r="J148" s="1">
        <v>0</v>
      </c>
      <c r="M148" s="7">
        <v>1.601928934E-3</v>
      </c>
      <c r="N148">
        <v>0.26369168356997974</v>
      </c>
      <c r="O148">
        <v>608.5</v>
      </c>
      <c r="P148">
        <f>N148*20</f>
        <v>5.2738336713995952</v>
      </c>
      <c r="Q148">
        <f>P148/100</f>
        <v>5.2738336713995949E-2</v>
      </c>
    </row>
    <row r="149" spans="1:18">
      <c r="A149" s="1"/>
      <c r="B149" s="1"/>
      <c r="C149" s="1"/>
      <c r="D149" s="1"/>
      <c r="E149" s="1"/>
      <c r="F149" s="1"/>
      <c r="G149" s="1"/>
      <c r="H149" s="1"/>
      <c r="I149" s="1"/>
      <c r="J149" s="1"/>
      <c r="M149" s="7"/>
    </row>
    <row r="150" spans="1:18">
      <c r="A150" s="1"/>
      <c r="B150" s="1"/>
      <c r="C150" s="1"/>
      <c r="D150" s="1"/>
      <c r="E150" s="1"/>
      <c r="F150" s="1"/>
      <c r="G150" s="1"/>
      <c r="H150" s="1"/>
      <c r="I150" s="1"/>
      <c r="J150" s="1"/>
      <c r="M150" s="7"/>
    </row>
    <row r="151" spans="1:18">
      <c r="A151" s="1"/>
      <c r="B151" s="1"/>
      <c r="C151" s="1"/>
      <c r="D151" s="1"/>
      <c r="E151" s="1"/>
      <c r="F151" s="1"/>
      <c r="G151" s="1"/>
      <c r="H151" s="1"/>
      <c r="I151" s="1"/>
      <c r="J151" s="1"/>
      <c r="L151" s="1"/>
      <c r="M151" s="7"/>
    </row>
  </sheetData>
  <autoFilter ref="A1:Y1" xr:uid="{6F1CAF10-9C02-D740-B34A-9F0394A16F64}"/>
  <sortState xmlns:xlrd2="http://schemas.microsoft.com/office/spreadsheetml/2017/richdata2" ref="A2:Q148">
    <sortCondition ref="B2:B148"/>
    <sortCondition descending="1" ref="I2:I148"/>
  </sortState>
  <phoneticPr fontId="2" type="noConversion"/>
  <conditionalFormatting sqref="A40:A61 A63:A64 A66:A67 A71:A72 A74:A75 A77:A78 A80:A81 A62:B62 A65:B65 A68:B70 A73:B73 A76:B76 A79:B79">
    <cfRule type="duplicateValues" dxfId="5" priority="6" stopIfTrue="1"/>
  </conditionalFormatting>
  <conditionalFormatting sqref="A124:A139">
    <cfRule type="duplicateValues" dxfId="4" priority="26" stopIfTrue="1"/>
  </conditionalFormatting>
  <conditionalFormatting sqref="A140:A151">
    <cfRule type="duplicateValues" dxfId="3" priority="2" stopIfTrue="1"/>
  </conditionalFormatting>
  <conditionalFormatting sqref="I1:I1048576">
    <cfRule type="cellIs" dxfId="2" priority="1" operator="lessThan">
      <formula>4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986AD-6A3F-F641-A319-2FFD542E1DF5}">
  <dimension ref="A1:V19"/>
  <sheetViews>
    <sheetView workbookViewId="0">
      <selection activeCell="P10" sqref="P10"/>
    </sheetView>
  </sheetViews>
  <sheetFormatPr defaultColWidth="11.19921875" defaultRowHeight="15.6"/>
  <sheetData>
    <row r="1" spans="1:22">
      <c r="B1" t="s">
        <v>179</v>
      </c>
      <c r="C1" t="s">
        <v>180</v>
      </c>
      <c r="D1" t="s">
        <v>181</v>
      </c>
      <c r="K1" s="1"/>
      <c r="L1" s="1"/>
      <c r="M1" s="1"/>
      <c r="N1" s="1"/>
      <c r="O1" s="1"/>
      <c r="P1" s="1"/>
      <c r="Q1" s="1"/>
      <c r="R1" s="1"/>
      <c r="S1" s="12"/>
      <c r="T1" s="1"/>
    </row>
    <row r="2" spans="1:22">
      <c r="A2" t="s">
        <v>176</v>
      </c>
      <c r="B2">
        <v>1</v>
      </c>
      <c r="C2">
        <v>1</v>
      </c>
      <c r="D2">
        <v>1</v>
      </c>
      <c r="K2" s="1"/>
      <c r="L2" s="1"/>
      <c r="M2" s="1"/>
      <c r="N2" s="1"/>
      <c r="O2" s="1"/>
      <c r="P2" s="1"/>
      <c r="Q2" s="1"/>
      <c r="R2" s="1"/>
      <c r="S2" s="12"/>
      <c r="T2" s="1"/>
    </row>
    <row r="3" spans="1:22">
      <c r="A3" t="s">
        <v>177</v>
      </c>
      <c r="B3">
        <v>10</v>
      </c>
      <c r="C3">
        <v>10</v>
      </c>
      <c r="D3">
        <v>5</v>
      </c>
      <c r="K3" s="1"/>
      <c r="L3" s="1"/>
      <c r="M3" s="1"/>
      <c r="N3" s="1"/>
      <c r="O3" s="1"/>
      <c r="P3" s="1"/>
      <c r="Q3" s="1"/>
      <c r="R3" s="1"/>
      <c r="S3" s="12"/>
      <c r="T3" s="1"/>
    </row>
    <row r="4" spans="1:22">
      <c r="A4" t="s">
        <v>178</v>
      </c>
      <c r="B4">
        <v>5</v>
      </c>
      <c r="C4">
        <v>5</v>
      </c>
      <c r="D4">
        <v>5</v>
      </c>
      <c r="K4" s="1"/>
      <c r="L4" s="1"/>
      <c r="M4" s="1"/>
      <c r="N4" s="1"/>
      <c r="O4" s="1"/>
      <c r="P4" s="1"/>
      <c r="Q4" s="1"/>
      <c r="R4" s="1"/>
      <c r="S4" s="12"/>
      <c r="T4" s="1"/>
    </row>
    <row r="5" spans="1:22">
      <c r="A5" t="s">
        <v>182</v>
      </c>
      <c r="B5">
        <v>5</v>
      </c>
      <c r="C5">
        <v>5</v>
      </c>
      <c r="D5">
        <v>4</v>
      </c>
      <c r="K5" s="1"/>
      <c r="L5" s="1"/>
      <c r="M5" s="1"/>
      <c r="N5" s="1"/>
      <c r="O5" s="1"/>
      <c r="P5" s="1"/>
      <c r="Q5" s="1"/>
      <c r="R5" s="1"/>
      <c r="S5" s="12"/>
      <c r="T5" s="1"/>
      <c r="V5" s="1"/>
    </row>
    <row r="6" spans="1:22">
      <c r="A6" t="s">
        <v>183</v>
      </c>
      <c r="B6">
        <v>3</v>
      </c>
      <c r="C6">
        <v>3</v>
      </c>
      <c r="D6">
        <v>1</v>
      </c>
      <c r="K6" s="1"/>
      <c r="L6" s="1"/>
      <c r="M6" s="1"/>
      <c r="N6" s="1"/>
      <c r="O6" s="1"/>
      <c r="P6" s="1"/>
      <c r="Q6" s="1"/>
      <c r="R6" s="1"/>
      <c r="S6" s="12"/>
      <c r="T6" s="1"/>
      <c r="V6" s="1"/>
    </row>
    <row r="7" spans="1:22">
      <c r="A7" t="s">
        <v>184</v>
      </c>
      <c r="B7">
        <v>5</v>
      </c>
      <c r="C7">
        <v>5</v>
      </c>
      <c r="D7">
        <v>6</v>
      </c>
      <c r="K7" s="1"/>
      <c r="L7" s="1"/>
      <c r="M7" s="3"/>
      <c r="N7" s="1"/>
      <c r="O7" s="1"/>
      <c r="P7" s="1"/>
      <c r="Q7" s="1"/>
      <c r="R7" s="1"/>
      <c r="S7" s="12"/>
      <c r="T7" s="1"/>
      <c r="V7" s="1"/>
    </row>
    <row r="8" spans="1:22">
      <c r="A8" t="s">
        <v>185</v>
      </c>
      <c r="B8">
        <v>8</v>
      </c>
      <c r="C8">
        <v>8</v>
      </c>
      <c r="D8">
        <v>7</v>
      </c>
      <c r="K8" s="1"/>
      <c r="L8" s="1"/>
      <c r="M8" s="1"/>
      <c r="N8" s="1"/>
      <c r="O8" s="1"/>
      <c r="P8" s="1"/>
      <c r="Q8" s="1"/>
      <c r="R8" s="1"/>
      <c r="S8" s="12"/>
      <c r="T8" s="1"/>
      <c r="V8" s="1"/>
    </row>
    <row r="9" spans="1:22">
      <c r="A9" t="s">
        <v>186</v>
      </c>
      <c r="B9">
        <v>10</v>
      </c>
      <c r="C9">
        <v>10</v>
      </c>
      <c r="D9">
        <v>7</v>
      </c>
      <c r="K9" s="1"/>
      <c r="L9" s="1"/>
      <c r="M9" s="1"/>
      <c r="N9" s="1"/>
      <c r="O9" s="1"/>
      <c r="P9" s="1"/>
      <c r="Q9" s="1"/>
      <c r="R9" s="1"/>
      <c r="S9" s="12"/>
      <c r="T9" s="1"/>
      <c r="V9" s="1"/>
    </row>
    <row r="10" spans="1:22">
      <c r="A10" t="s">
        <v>187</v>
      </c>
      <c r="B10">
        <v>2</v>
      </c>
      <c r="C10">
        <v>2</v>
      </c>
      <c r="D10">
        <v>2</v>
      </c>
      <c r="K10" s="1"/>
      <c r="L10" s="1"/>
      <c r="M10" s="1"/>
      <c r="N10" s="1"/>
      <c r="O10" s="1"/>
      <c r="P10" s="1"/>
      <c r="Q10" s="1"/>
      <c r="R10" s="1"/>
      <c r="S10" s="13"/>
      <c r="T10" s="1"/>
    </row>
    <row r="11" spans="1:22">
      <c r="A11" t="s">
        <v>188</v>
      </c>
      <c r="B11">
        <v>2</v>
      </c>
      <c r="C11">
        <v>2</v>
      </c>
      <c r="K11" s="1"/>
      <c r="L11" s="1"/>
      <c r="M11" s="1"/>
      <c r="N11" s="1"/>
      <c r="O11" s="1"/>
      <c r="P11" s="1"/>
      <c r="Q11" s="1"/>
      <c r="R11" s="1"/>
      <c r="S11" s="12"/>
      <c r="T11" s="1"/>
    </row>
    <row r="12" spans="1:22">
      <c r="A12" t="s">
        <v>189</v>
      </c>
      <c r="B12">
        <v>4</v>
      </c>
      <c r="C12">
        <v>4</v>
      </c>
      <c r="D12">
        <v>2</v>
      </c>
      <c r="K12" s="1"/>
      <c r="L12" s="1"/>
      <c r="M12" s="1"/>
      <c r="N12" s="1"/>
      <c r="O12" s="1"/>
      <c r="P12" s="1"/>
      <c r="Q12" s="1"/>
      <c r="R12" s="1"/>
      <c r="S12" s="12"/>
      <c r="T12" s="1"/>
    </row>
    <row r="14" spans="1:22">
      <c r="A14" s="1" t="s">
        <v>160</v>
      </c>
      <c r="B14">
        <v>5</v>
      </c>
      <c r="C14">
        <v>5</v>
      </c>
      <c r="D14">
        <v>2</v>
      </c>
    </row>
    <row r="15" spans="1:22">
      <c r="A15" s="1" t="s">
        <v>161</v>
      </c>
      <c r="B15">
        <v>12</v>
      </c>
      <c r="C15">
        <v>12</v>
      </c>
      <c r="D15">
        <v>6</v>
      </c>
    </row>
    <row r="16" spans="1:22">
      <c r="A16" s="1" t="s">
        <v>166</v>
      </c>
      <c r="B16">
        <v>15</v>
      </c>
      <c r="C16">
        <v>16</v>
      </c>
      <c r="D16">
        <v>16</v>
      </c>
    </row>
    <row r="17" spans="1:4">
      <c r="A17" s="1" t="s">
        <v>156</v>
      </c>
      <c r="B17">
        <v>19</v>
      </c>
      <c r="C17">
        <v>18</v>
      </c>
      <c r="D17">
        <v>13</v>
      </c>
    </row>
    <row r="18" spans="1:4">
      <c r="A18" s="1" t="s">
        <v>168</v>
      </c>
      <c r="B18">
        <v>3</v>
      </c>
      <c r="C18">
        <v>3</v>
      </c>
      <c r="D18">
        <v>1</v>
      </c>
    </row>
    <row r="19" spans="1:4">
      <c r="A19" s="1" t="s">
        <v>169</v>
      </c>
      <c r="B19">
        <v>1</v>
      </c>
      <c r="C19">
        <v>1</v>
      </c>
      <c r="D19">
        <v>1</v>
      </c>
    </row>
  </sheetData>
  <conditionalFormatting sqref="K1:K12">
    <cfRule type="duplicateValues" dxfId="1" priority="2" stopIfTrue="1"/>
  </conditionalFormatting>
  <conditionalFormatting sqref="S1:S12">
    <cfRule type="cellIs" dxfId="0" priority="1" operator="lessThan">
      <formula>4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183F6-DBD9-4A95-8135-EF4D5926D952}">
  <dimension ref="A1:G17"/>
  <sheetViews>
    <sheetView workbookViewId="0">
      <selection activeCell="I7" sqref="I7"/>
    </sheetView>
  </sheetViews>
  <sheetFormatPr defaultColWidth="11.19921875" defaultRowHeight="15.6"/>
  <sheetData>
    <row r="1" spans="1:7">
      <c r="A1" t="s">
        <v>151</v>
      </c>
      <c r="B1" t="s">
        <v>152</v>
      </c>
      <c r="C1" t="s">
        <v>206</v>
      </c>
      <c r="D1" t="s">
        <v>173</v>
      </c>
      <c r="E1" t="s">
        <v>204</v>
      </c>
      <c r="F1" s="15" t="s">
        <v>205</v>
      </c>
      <c r="G1" s="15" t="s">
        <v>204</v>
      </c>
    </row>
    <row r="2" spans="1:7">
      <c r="A2" t="s">
        <v>160</v>
      </c>
      <c r="B2" t="s">
        <v>153</v>
      </c>
      <c r="C2">
        <f>2/5</f>
        <v>0.4</v>
      </c>
      <c r="D2">
        <v>0.104</v>
      </c>
      <c r="E2">
        <v>5</v>
      </c>
      <c r="F2" s="14">
        <f>11/12</f>
        <v>0.91666666666666663</v>
      </c>
      <c r="G2">
        <v>12</v>
      </c>
    </row>
    <row r="3" spans="1:7">
      <c r="A3" t="s">
        <v>160</v>
      </c>
      <c r="B3" t="s">
        <v>155</v>
      </c>
      <c r="C3">
        <f>4/5</f>
        <v>0.8</v>
      </c>
      <c r="D3">
        <f>5/(27+25+22+19)</f>
        <v>5.3763440860215055E-2</v>
      </c>
      <c r="E3">
        <v>5</v>
      </c>
      <c r="F3" s="14">
        <f>8/12</f>
        <v>0.66666666666666663</v>
      </c>
      <c r="G3">
        <v>12</v>
      </c>
    </row>
    <row r="4" spans="1:7">
      <c r="A4" t="s">
        <v>160</v>
      </c>
      <c r="B4" t="s">
        <v>154</v>
      </c>
      <c r="C4">
        <v>1</v>
      </c>
      <c r="D4">
        <f>6/(21+14)</f>
        <v>0.17142857142857143</v>
      </c>
      <c r="E4">
        <v>2</v>
      </c>
      <c r="F4" s="14">
        <v>0.5</v>
      </c>
      <c r="G4">
        <v>6</v>
      </c>
    </row>
    <row r="5" spans="1:7">
      <c r="A5" t="s">
        <v>161</v>
      </c>
      <c r="B5" t="s">
        <v>153</v>
      </c>
      <c r="C5">
        <f>5/14</f>
        <v>0.35714285714285715</v>
      </c>
      <c r="D5">
        <v>7.5800000000000006E-2</v>
      </c>
      <c r="E5">
        <v>14</v>
      </c>
      <c r="F5" s="14">
        <f>13/16</f>
        <v>0.8125</v>
      </c>
      <c r="G5">
        <v>16</v>
      </c>
    </row>
    <row r="6" spans="1:7">
      <c r="A6" t="s">
        <v>161</v>
      </c>
      <c r="B6" t="s">
        <v>155</v>
      </c>
      <c r="C6">
        <f>3/12</f>
        <v>0.25</v>
      </c>
      <c r="D6">
        <v>0.125</v>
      </c>
      <c r="E6">
        <v>12</v>
      </c>
      <c r="F6" s="14">
        <f>13/16</f>
        <v>0.8125</v>
      </c>
      <c r="G6">
        <v>16</v>
      </c>
    </row>
    <row r="7" spans="1:7">
      <c r="A7" t="s">
        <v>161</v>
      </c>
      <c r="B7" t="s">
        <v>154</v>
      </c>
      <c r="C7">
        <f>1/6</f>
        <v>0.16666666666666666</v>
      </c>
      <c r="D7">
        <v>0.26</v>
      </c>
      <c r="E7">
        <v>6</v>
      </c>
      <c r="F7" s="14">
        <f>12/16</f>
        <v>0.75</v>
      </c>
      <c r="G7">
        <v>16</v>
      </c>
    </row>
    <row r="8" spans="1:7">
      <c r="A8" t="s">
        <v>166</v>
      </c>
      <c r="B8" t="s">
        <v>153</v>
      </c>
      <c r="C8">
        <f>5/15</f>
        <v>0.33333333333333331</v>
      </c>
      <c r="D8">
        <v>5.0599999999999999E-2</v>
      </c>
      <c r="E8">
        <v>15</v>
      </c>
      <c r="F8" s="14">
        <f>15/19</f>
        <v>0.78947368421052633</v>
      </c>
      <c r="G8">
        <v>19</v>
      </c>
    </row>
    <row r="9" spans="1:7">
      <c r="A9" t="s">
        <v>166</v>
      </c>
      <c r="B9" t="s">
        <v>155</v>
      </c>
      <c r="C9">
        <f>7/16</f>
        <v>0.4375</v>
      </c>
      <c r="D9">
        <v>5.6000000000000001E-2</v>
      </c>
      <c r="E9">
        <v>16</v>
      </c>
      <c r="F9" s="14">
        <f>11/18</f>
        <v>0.61111111111111116</v>
      </c>
      <c r="G9">
        <v>18</v>
      </c>
    </row>
    <row r="10" spans="1:7">
      <c r="A10" t="s">
        <v>166</v>
      </c>
      <c r="B10" t="s">
        <v>154</v>
      </c>
      <c r="C10">
        <f>12/16</f>
        <v>0.75</v>
      </c>
      <c r="D10">
        <v>6.83E-2</v>
      </c>
      <c r="E10">
        <v>16</v>
      </c>
      <c r="F10" s="14">
        <f>10/13</f>
        <v>0.76923076923076927</v>
      </c>
      <c r="G10">
        <v>13</v>
      </c>
    </row>
    <row r="11" spans="1:7">
      <c r="A11" t="s">
        <v>156</v>
      </c>
      <c r="B11" t="s">
        <v>153</v>
      </c>
      <c r="C11">
        <f>3/19</f>
        <v>0.15789473684210525</v>
      </c>
      <c r="D11">
        <v>5.8999999999999997E-2</v>
      </c>
      <c r="E11">
        <v>19</v>
      </c>
      <c r="F11" s="14">
        <v>0.83299999999999996</v>
      </c>
      <c r="G11">
        <v>54</v>
      </c>
    </row>
    <row r="12" spans="1:7">
      <c r="A12" t="s">
        <v>156</v>
      </c>
      <c r="B12" t="s">
        <v>155</v>
      </c>
      <c r="C12">
        <f>2/18</f>
        <v>0.1111111111111111</v>
      </c>
      <c r="D12">
        <v>0.113</v>
      </c>
      <c r="E12">
        <v>18</v>
      </c>
      <c r="F12" s="14">
        <v>0.72199999999999998</v>
      </c>
      <c r="G12">
        <v>54</v>
      </c>
    </row>
    <row r="13" spans="1:7">
      <c r="A13" t="s">
        <v>156</v>
      </c>
      <c r="B13" t="s">
        <v>154</v>
      </c>
      <c r="C13">
        <f>2/13</f>
        <v>0.15384615384615385</v>
      </c>
      <c r="D13">
        <f>2/30</f>
        <v>6.6666666666666666E-2</v>
      </c>
      <c r="E13">
        <v>13</v>
      </c>
      <c r="F13" s="14">
        <v>0.74399999999999999</v>
      </c>
      <c r="G13">
        <v>39</v>
      </c>
    </row>
    <row r="14" spans="1:7">
      <c r="A14" t="s">
        <v>168</v>
      </c>
      <c r="B14" t="s">
        <v>153</v>
      </c>
      <c r="C14">
        <v>0</v>
      </c>
      <c r="E14">
        <v>3</v>
      </c>
      <c r="F14" s="14">
        <v>1</v>
      </c>
      <c r="G14">
        <v>5</v>
      </c>
    </row>
    <row r="15" spans="1:7">
      <c r="A15" t="s">
        <v>168</v>
      </c>
      <c r="B15" t="s">
        <v>155</v>
      </c>
      <c r="C15">
        <v>0</v>
      </c>
      <c r="E15">
        <v>3</v>
      </c>
      <c r="F15">
        <f>4/5</f>
        <v>0.8</v>
      </c>
      <c r="G15">
        <v>5</v>
      </c>
    </row>
    <row r="16" spans="1:7">
      <c r="A16" t="s">
        <v>168</v>
      </c>
      <c r="B16" t="s">
        <v>154</v>
      </c>
      <c r="C16">
        <v>0</v>
      </c>
      <c r="E16">
        <v>2</v>
      </c>
      <c r="F16" s="14">
        <v>1</v>
      </c>
      <c r="G16">
        <v>2</v>
      </c>
    </row>
    <row r="17" spans="3:6">
      <c r="C17" t="s">
        <v>203</v>
      </c>
      <c r="F17" t="s">
        <v>202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551E5-0DE8-4211-9F1E-50AB7BB996E2}">
  <dimension ref="A1:F22"/>
  <sheetViews>
    <sheetView workbookViewId="0">
      <selection activeCell="H15" sqref="H15"/>
    </sheetView>
  </sheetViews>
  <sheetFormatPr defaultColWidth="11.19921875" defaultRowHeight="15.6"/>
  <sheetData>
    <row r="1" spans="1:6">
      <c r="A1" t="s">
        <v>151</v>
      </c>
      <c r="B1" t="s">
        <v>152</v>
      </c>
      <c r="C1" t="s">
        <v>206</v>
      </c>
      <c r="D1" t="s">
        <v>173</v>
      </c>
      <c r="E1" t="s">
        <v>204</v>
      </c>
      <c r="F1" t="s">
        <v>207</v>
      </c>
    </row>
    <row r="2" spans="1:6">
      <c r="A2" t="s">
        <v>164</v>
      </c>
      <c r="B2" t="s">
        <v>153</v>
      </c>
      <c r="C2">
        <f>3/10</f>
        <v>0.3</v>
      </c>
      <c r="D2">
        <v>0.1067</v>
      </c>
      <c r="E2">
        <v>10</v>
      </c>
      <c r="F2">
        <f>9/10</f>
        <v>0.9</v>
      </c>
    </row>
    <row r="3" spans="1:6">
      <c r="A3" t="s">
        <v>164</v>
      </c>
      <c r="B3" t="s">
        <v>155</v>
      </c>
      <c r="C3">
        <f>2/10</f>
        <v>0.2</v>
      </c>
      <c r="D3">
        <v>0.153</v>
      </c>
      <c r="E3">
        <v>10</v>
      </c>
      <c r="F3">
        <f>9/10</f>
        <v>0.9</v>
      </c>
    </row>
    <row r="4" spans="1:6">
      <c r="A4" t="s">
        <v>164</v>
      </c>
      <c r="B4" t="s">
        <v>154</v>
      </c>
      <c r="C4">
        <f>1/5</f>
        <v>0.2</v>
      </c>
      <c r="D4">
        <f>9/37</f>
        <v>0.24324324324324326</v>
      </c>
      <c r="E4">
        <v>5</v>
      </c>
      <c r="F4">
        <f>2/5</f>
        <v>0.4</v>
      </c>
    </row>
    <row r="5" spans="1:6">
      <c r="A5" t="s">
        <v>157</v>
      </c>
      <c r="B5" t="s">
        <v>153</v>
      </c>
      <c r="C5">
        <f>1/5</f>
        <v>0.2</v>
      </c>
      <c r="D5">
        <v>9.0999999999999998E-2</v>
      </c>
      <c r="E5">
        <v>5</v>
      </c>
      <c r="F5">
        <f>4/5</f>
        <v>0.8</v>
      </c>
    </row>
    <row r="6" spans="1:6">
      <c r="A6" t="s">
        <v>157</v>
      </c>
      <c r="B6" t="s">
        <v>155</v>
      </c>
      <c r="C6">
        <f>1/5</f>
        <v>0.2</v>
      </c>
      <c r="D6">
        <v>0.11799999999999999</v>
      </c>
      <c r="E6">
        <v>5</v>
      </c>
      <c r="F6">
        <f>3/5</f>
        <v>0.6</v>
      </c>
    </row>
    <row r="7" spans="1:6">
      <c r="A7" t="s">
        <v>157</v>
      </c>
      <c r="B7" t="s">
        <v>154</v>
      </c>
      <c r="C7">
        <f>2/5</f>
        <v>0.4</v>
      </c>
      <c r="D7">
        <f>1/41</f>
        <v>2.4390243902439025E-2</v>
      </c>
      <c r="E7">
        <v>4</v>
      </c>
      <c r="F7">
        <v>1</v>
      </c>
    </row>
    <row r="8" spans="1:6">
      <c r="A8" t="s">
        <v>190</v>
      </c>
      <c r="B8" t="s">
        <v>153</v>
      </c>
      <c r="C8">
        <f>2/5</f>
        <v>0.4</v>
      </c>
      <c r="D8">
        <v>9.5000000000000001E-2</v>
      </c>
      <c r="E8">
        <v>5</v>
      </c>
      <c r="F8">
        <f>4/5</f>
        <v>0.8</v>
      </c>
    </row>
    <row r="9" spans="1:6">
      <c r="A9" t="s">
        <v>190</v>
      </c>
      <c r="B9" t="s">
        <v>155</v>
      </c>
      <c r="C9">
        <f>4/5</f>
        <v>0.8</v>
      </c>
      <c r="D9">
        <v>4.4999999999999998E-2</v>
      </c>
      <c r="E9">
        <v>5</v>
      </c>
      <c r="F9">
        <v>1</v>
      </c>
    </row>
    <row r="10" spans="1:6">
      <c r="A10" t="s">
        <v>190</v>
      </c>
      <c r="B10" t="s">
        <v>154</v>
      </c>
      <c r="C10">
        <f>3/6</f>
        <v>0.5</v>
      </c>
      <c r="D10">
        <f>7/66</f>
        <v>0.10606060606060606</v>
      </c>
      <c r="E10">
        <v>6</v>
      </c>
      <c r="F10">
        <f>4/6</f>
        <v>0.66666666666666663</v>
      </c>
    </row>
    <row r="11" spans="1:6">
      <c r="A11" t="s">
        <v>162</v>
      </c>
      <c r="B11" t="s">
        <v>153</v>
      </c>
      <c r="C11">
        <f>1/5</f>
        <v>0.2</v>
      </c>
      <c r="D11">
        <f>0.083</f>
        <v>8.3000000000000004E-2</v>
      </c>
      <c r="E11">
        <v>5</v>
      </c>
      <c r="F11">
        <f>4/5</f>
        <v>0.8</v>
      </c>
    </row>
    <row r="12" spans="1:6">
      <c r="A12" t="s">
        <v>162</v>
      </c>
      <c r="B12" t="s">
        <v>155</v>
      </c>
      <c r="C12">
        <f>1/5</f>
        <v>0.2</v>
      </c>
      <c r="D12">
        <v>0</v>
      </c>
      <c r="E12">
        <v>5</v>
      </c>
      <c r="F12">
        <f>3/5</f>
        <v>0.6</v>
      </c>
    </row>
    <row r="13" spans="1:6">
      <c r="A13" t="s">
        <v>162</v>
      </c>
      <c r="B13" t="s">
        <v>154</v>
      </c>
      <c r="C13">
        <v>0</v>
      </c>
      <c r="E13">
        <v>4</v>
      </c>
      <c r="F13">
        <f>3/4</f>
        <v>0.75</v>
      </c>
    </row>
    <row r="14" spans="1:6">
      <c r="A14" t="s">
        <v>158</v>
      </c>
      <c r="B14" t="s">
        <v>153</v>
      </c>
      <c r="C14">
        <f>1/8</f>
        <v>0.125</v>
      </c>
      <c r="D14">
        <f>4/45</f>
        <v>8.8888888888888892E-2</v>
      </c>
      <c r="E14">
        <v>8</v>
      </c>
      <c r="F14">
        <f>6/8</f>
        <v>0.75</v>
      </c>
    </row>
    <row r="15" spans="1:6">
      <c r="A15" t="s">
        <v>158</v>
      </c>
      <c r="B15" t="s">
        <v>155</v>
      </c>
      <c r="C15">
        <f>2/8</f>
        <v>0.25</v>
      </c>
      <c r="D15">
        <f>2/41</f>
        <v>4.878048780487805E-2</v>
      </c>
      <c r="E15">
        <v>8</v>
      </c>
      <c r="F15">
        <f>4/8</f>
        <v>0.5</v>
      </c>
    </row>
    <row r="16" spans="1:6">
      <c r="A16" t="s">
        <v>158</v>
      </c>
      <c r="B16" t="s">
        <v>154</v>
      </c>
      <c r="C16">
        <f>2/7</f>
        <v>0.2857142857142857</v>
      </c>
      <c r="D16">
        <v>9.5899999999999999E-2</v>
      </c>
      <c r="E16">
        <v>7</v>
      </c>
      <c r="F16">
        <f>5/7</f>
        <v>0.7142857142857143</v>
      </c>
    </row>
    <row r="17" spans="1:6">
      <c r="A17" t="s">
        <v>159</v>
      </c>
      <c r="B17" t="s">
        <v>153</v>
      </c>
      <c r="C17">
        <f>4/10</f>
        <v>0.4</v>
      </c>
      <c r="D17">
        <v>0.06</v>
      </c>
      <c r="E17">
        <v>10</v>
      </c>
      <c r="F17">
        <f>8/10</f>
        <v>0.8</v>
      </c>
    </row>
    <row r="18" spans="1:6">
      <c r="A18" t="s">
        <v>159</v>
      </c>
      <c r="B18" t="s">
        <v>155</v>
      </c>
      <c r="C18">
        <f>5/10</f>
        <v>0.5</v>
      </c>
      <c r="D18">
        <v>2.3E-2</v>
      </c>
      <c r="E18">
        <v>10</v>
      </c>
      <c r="F18">
        <v>0.8</v>
      </c>
    </row>
    <row r="19" spans="1:6">
      <c r="A19" t="s">
        <v>159</v>
      </c>
      <c r="B19" t="s">
        <v>154</v>
      </c>
      <c r="C19">
        <f>5/7</f>
        <v>0.7142857142857143</v>
      </c>
      <c r="D19">
        <v>5.5E-2</v>
      </c>
      <c r="E19">
        <v>7</v>
      </c>
      <c r="F19">
        <f>6/7</f>
        <v>0.8571428571428571</v>
      </c>
    </row>
    <row r="20" spans="1:6">
      <c r="A20" t="s">
        <v>163</v>
      </c>
      <c r="B20" t="s">
        <v>153</v>
      </c>
      <c r="C20">
        <f>3/4</f>
        <v>0.75</v>
      </c>
      <c r="D20">
        <v>8.4000000000000005E-2</v>
      </c>
      <c r="E20">
        <v>4</v>
      </c>
      <c r="F20">
        <v>1</v>
      </c>
    </row>
    <row r="21" spans="1:6">
      <c r="A21" t="s">
        <v>163</v>
      </c>
      <c r="B21" t="s">
        <v>155</v>
      </c>
      <c r="C21" s="4">
        <f>3/4</f>
        <v>0.75</v>
      </c>
      <c r="D21">
        <v>8.8200000000000001E-2</v>
      </c>
      <c r="E21">
        <v>4</v>
      </c>
      <c r="F21">
        <v>1</v>
      </c>
    </row>
    <row r="22" spans="1:6">
      <c r="A22" t="s">
        <v>163</v>
      </c>
      <c r="B22" t="s">
        <v>154</v>
      </c>
      <c r="C22">
        <v>1</v>
      </c>
      <c r="D22">
        <v>2.2700000000000001E-2</v>
      </c>
      <c r="E22">
        <v>2</v>
      </c>
      <c r="F2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9D671-7379-4A6F-89FF-485D196D91A2}">
  <dimension ref="A1:F11"/>
  <sheetViews>
    <sheetView workbookViewId="0">
      <selection activeCell="E13" sqref="E13"/>
    </sheetView>
  </sheetViews>
  <sheetFormatPr defaultRowHeight="15.6"/>
  <cols>
    <col min="6" max="6" width="9.8984375" bestFit="1" customWidth="1"/>
  </cols>
  <sheetData>
    <row r="1" spans="1:6">
      <c r="A1" t="s">
        <v>208</v>
      </c>
    </row>
    <row r="2" spans="1:6">
      <c r="B2" t="s">
        <v>160</v>
      </c>
      <c r="C2" t="s">
        <v>161</v>
      </c>
      <c r="D2" t="s">
        <v>166</v>
      </c>
      <c r="E2" t="s">
        <v>156</v>
      </c>
      <c r="F2" t="s">
        <v>168</v>
      </c>
    </row>
    <row r="3" spans="1:6">
      <c r="A3" t="s">
        <v>153</v>
      </c>
      <c r="B3">
        <v>1.7689999999999999</v>
      </c>
      <c r="C3">
        <v>0.12709999999999999</v>
      </c>
      <c r="D3">
        <v>1.0335000000000001</v>
      </c>
      <c r="E3">
        <v>9.5100000000000004E-2</v>
      </c>
      <c r="F3">
        <v>4.2900000000000001E-2</v>
      </c>
    </row>
    <row r="4" spans="1:6">
      <c r="A4" t="s">
        <v>155</v>
      </c>
      <c r="B4">
        <v>0.1648</v>
      </c>
      <c r="C4">
        <v>6.1800000000000001E-2</v>
      </c>
      <c r="D4">
        <v>0.23949999999999999</v>
      </c>
      <c r="E4">
        <v>7.0099999999999996E-2</v>
      </c>
      <c r="F4">
        <v>6.88E-2</v>
      </c>
    </row>
    <row r="5" spans="1:6">
      <c r="A5" t="s">
        <v>154</v>
      </c>
      <c r="B5">
        <v>18.454000000000001</v>
      </c>
      <c r="C5">
        <v>0.34720000000000001</v>
      </c>
      <c r="D5">
        <v>1.4725999999999999</v>
      </c>
      <c r="E5">
        <v>0.51280000000000003</v>
      </c>
      <c r="F5">
        <v>0.47099999999999997</v>
      </c>
    </row>
    <row r="7" spans="1:6">
      <c r="A7" t="s">
        <v>209</v>
      </c>
    </row>
    <row r="8" spans="1:6">
      <c r="B8" t="s">
        <v>160</v>
      </c>
      <c r="C8" t="s">
        <v>161</v>
      </c>
      <c r="D8" t="s">
        <v>166</v>
      </c>
      <c r="E8" t="s">
        <v>156</v>
      </c>
      <c r="F8" t="s">
        <v>168</v>
      </c>
    </row>
    <row r="9" spans="1:6">
      <c r="A9" t="s">
        <v>153</v>
      </c>
      <c r="B9">
        <v>2.0486</v>
      </c>
      <c r="C9">
        <v>1.6299999999999999E-2</v>
      </c>
      <c r="D9">
        <v>0.64</v>
      </c>
      <c r="E9">
        <v>1.2999999999999999E-3</v>
      </c>
      <c r="F9" s="11">
        <v>1.7200000000000001E-4</v>
      </c>
    </row>
    <row r="10" spans="1:6">
      <c r="A10" t="s">
        <v>155</v>
      </c>
      <c r="B10">
        <v>3.8E-3</v>
      </c>
      <c r="C10">
        <v>1.2E-4</v>
      </c>
      <c r="D10">
        <v>3.2000000000000002E-3</v>
      </c>
      <c r="E10" s="11">
        <v>3.8099999999999998E-5</v>
      </c>
      <c r="F10">
        <v>3.1999999999999999E-6</v>
      </c>
    </row>
    <row r="11" spans="1:6">
      <c r="A11" t="s">
        <v>154</v>
      </c>
      <c r="B11">
        <v>39.554000000000002</v>
      </c>
      <c r="C11">
        <v>1.66E-3</v>
      </c>
      <c r="D11">
        <v>0.1515</v>
      </c>
      <c r="E11" s="11">
        <v>1.09E-3</v>
      </c>
      <c r="F11" s="11">
        <v>8.1599999999999999E-4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Raw Data</vt:lpstr>
      <vt:lpstr>Burn Cat &amp; Elem Chart</vt:lpstr>
      <vt:lpstr>burn cat stats</vt:lpstr>
      <vt:lpstr>elem stats</vt:lpstr>
      <vt:lpstr>efficiency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Amber Coffman</cp:lastModifiedBy>
  <dcterms:created xsi:type="dcterms:W3CDTF">2023-03-06T20:28:54Z</dcterms:created>
  <dcterms:modified xsi:type="dcterms:W3CDTF">2023-04-01T06:25:38Z</dcterms:modified>
</cp:coreProperties>
</file>